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ruma6\mpo16.darumatech.com\images\WhatWeDo\LRTP\"/>
    </mc:Choice>
  </mc:AlternateContent>
  <bookViews>
    <workbookView xWindow="0" yWindow="0" windowWidth="28800" windowHeight="13020" tabRatio="736"/>
  </bookViews>
  <sheets>
    <sheet name="Summary of Revenues" sheetId="1" r:id="rId1"/>
    <sheet name="Fuel Taxes" sheetId="2" r:id="rId2"/>
    <sheet name="Muni Rev Sharing" sheetId="3" r:id="rId3"/>
    <sheet name="BCT &amp; TriRail" sheetId="4" r:id="rId4"/>
    <sheet name="Inflation Factors per Handbook" sheetId="5" r:id="rId5"/>
    <sheet name="Statewide" sheetId="6" r:id="rId6"/>
    <sheet name="DVMT" sheetId="7" r:id="rId7"/>
    <sheet name="Fuel Vol Taxed" sheetId="8" r:id="rId8"/>
    <sheet name="Vol per VMT" sheetId="9" r:id="rId9"/>
    <sheet name="AEO2013-Transportation_Sector_K" sheetId="11" r:id="rId10"/>
    <sheet name="AEO2013-Light-Duty_Vehicle_Mile" sheetId="10" r:id="rId11"/>
  </sheets>
  <calcPr calcId="152511"/>
</workbook>
</file>

<file path=xl/calcChain.xml><?xml version="1.0" encoding="utf-8"?>
<calcChain xmlns="http://schemas.openxmlformats.org/spreadsheetml/2006/main">
  <c r="D24" i="4" l="1"/>
  <c r="E24" i="4" s="1"/>
  <c r="F24" i="4" s="1"/>
  <c r="G24" i="4" s="1"/>
  <c r="H24" i="4" s="1"/>
  <c r="I24" i="4" s="1"/>
  <c r="J24" i="4" s="1"/>
  <c r="E29" i="4"/>
  <c r="D29" i="4"/>
  <c r="C29" i="4"/>
  <c r="B29" i="4"/>
  <c r="F29" i="4" l="1"/>
  <c r="K24" i="4"/>
  <c r="E42" i="4"/>
  <c r="D42" i="4"/>
  <c r="C42" i="4"/>
  <c r="B42" i="4"/>
  <c r="L24" i="4" l="1"/>
  <c r="M24" i="4" s="1"/>
  <c r="N24" i="4" s="1"/>
  <c r="O24" i="4" s="1"/>
  <c r="P24" i="4" s="1"/>
  <c r="B28" i="4"/>
  <c r="F42" i="4"/>
  <c r="C55" i="2"/>
  <c r="D55" i="2"/>
  <c r="E55" i="2"/>
  <c r="F55" i="2"/>
  <c r="G55" i="2"/>
  <c r="H55" i="2"/>
  <c r="I55" i="2"/>
  <c r="J55" i="2"/>
  <c r="K55" i="2"/>
  <c r="L55" i="2"/>
  <c r="M55" i="2"/>
  <c r="N55" i="2"/>
  <c r="O55" i="2"/>
  <c r="P55" i="2"/>
  <c r="Q55" i="2"/>
  <c r="R55" i="2"/>
  <c r="S55" i="2"/>
  <c r="T55" i="2"/>
  <c r="U55" i="2"/>
  <c r="V55" i="2"/>
  <c r="W55" i="2"/>
  <c r="X55" i="2"/>
  <c r="Y55" i="2"/>
  <c r="Z55" i="2"/>
  <c r="AA55" i="2"/>
  <c r="AB55" i="2"/>
  <c r="AC55" i="2"/>
  <c r="AD55" i="2"/>
  <c r="C56" i="2"/>
  <c r="D56" i="2"/>
  <c r="E56" i="2"/>
  <c r="F56" i="2"/>
  <c r="G56" i="2"/>
  <c r="H56" i="2"/>
  <c r="I56" i="2"/>
  <c r="J56" i="2"/>
  <c r="K56" i="2"/>
  <c r="L56" i="2"/>
  <c r="M56" i="2"/>
  <c r="N56" i="2"/>
  <c r="O56" i="2"/>
  <c r="P56" i="2"/>
  <c r="Q56" i="2"/>
  <c r="R56" i="2"/>
  <c r="S56" i="2"/>
  <c r="T56" i="2"/>
  <c r="U56" i="2"/>
  <c r="V56" i="2"/>
  <c r="W56" i="2"/>
  <c r="X56" i="2"/>
  <c r="Y56" i="2"/>
  <c r="Z56" i="2"/>
  <c r="AA56" i="2"/>
  <c r="AB56" i="2"/>
  <c r="AC56" i="2"/>
  <c r="AD56" i="2"/>
  <c r="C57" i="2"/>
  <c r="D57" i="2"/>
  <c r="E57" i="2"/>
  <c r="F57" i="2"/>
  <c r="G57" i="2"/>
  <c r="H57" i="2"/>
  <c r="I57" i="2"/>
  <c r="J57" i="2"/>
  <c r="K57" i="2"/>
  <c r="L57" i="2"/>
  <c r="M57" i="2"/>
  <c r="N57" i="2"/>
  <c r="O57" i="2"/>
  <c r="P57" i="2"/>
  <c r="Q57" i="2"/>
  <c r="R57" i="2"/>
  <c r="S57" i="2"/>
  <c r="T57" i="2"/>
  <c r="U57" i="2"/>
  <c r="V57" i="2"/>
  <c r="W57" i="2"/>
  <c r="X57" i="2"/>
  <c r="Y57" i="2"/>
  <c r="Z57" i="2"/>
  <c r="AA57" i="2"/>
  <c r="AB57" i="2"/>
  <c r="AC57" i="2"/>
  <c r="AD57" i="2"/>
  <c r="B56" i="2"/>
  <c r="B57" i="2"/>
  <c r="B55" i="2"/>
  <c r="E12" i="11"/>
  <c r="F12" i="11"/>
  <c r="G12" i="11"/>
  <c r="H12" i="11"/>
  <c r="M12" i="11"/>
  <c r="N12" i="11"/>
  <c r="O12" i="11"/>
  <c r="P12" i="11"/>
  <c r="U12" i="11"/>
  <c r="V12" i="11"/>
  <c r="W12" i="11"/>
  <c r="X12" i="11"/>
  <c r="AC12" i="11"/>
  <c r="AD12" i="11"/>
  <c r="AE12" i="11"/>
  <c r="AF12" i="11"/>
  <c r="E13" i="11"/>
  <c r="G13" i="11"/>
  <c r="H13" i="11"/>
  <c r="I13" i="11"/>
  <c r="J13" i="11"/>
  <c r="M13" i="11"/>
  <c r="O13" i="11"/>
  <c r="P13" i="11"/>
  <c r="Q13" i="11"/>
  <c r="R13" i="11"/>
  <c r="U13" i="11"/>
  <c r="W13" i="11"/>
  <c r="X13" i="11"/>
  <c r="Y13" i="11"/>
  <c r="Z13" i="11"/>
  <c r="AC13" i="11"/>
  <c r="AE13" i="11"/>
  <c r="AF13" i="11"/>
  <c r="D14" i="11"/>
  <c r="G14" i="11"/>
  <c r="L14" i="11"/>
  <c r="O14" i="11"/>
  <c r="T14" i="11"/>
  <c r="W14" i="11"/>
  <c r="AB14" i="11"/>
  <c r="AE14" i="11"/>
  <c r="B12" i="11"/>
  <c r="C11" i="11"/>
  <c r="C13" i="11" s="1"/>
  <c r="D11" i="11"/>
  <c r="D13" i="11" s="1"/>
  <c r="E11" i="11"/>
  <c r="E14" i="11" s="1"/>
  <c r="F11" i="11"/>
  <c r="F14" i="11" s="1"/>
  <c r="G11" i="11"/>
  <c r="H11" i="11"/>
  <c r="H14" i="11" s="1"/>
  <c r="I11" i="11"/>
  <c r="I12" i="11" s="1"/>
  <c r="J11" i="11"/>
  <c r="J14" i="11" s="1"/>
  <c r="K11" i="11"/>
  <c r="K13" i="11" s="1"/>
  <c r="L11" i="11"/>
  <c r="L13" i="11" s="1"/>
  <c r="M11" i="11"/>
  <c r="M14" i="11" s="1"/>
  <c r="N11" i="11"/>
  <c r="N14" i="11" s="1"/>
  <c r="O11" i="11"/>
  <c r="P11" i="11"/>
  <c r="P14" i="11" s="1"/>
  <c r="Q11" i="11"/>
  <c r="Q12" i="11" s="1"/>
  <c r="R11" i="11"/>
  <c r="R12" i="11" s="1"/>
  <c r="S11" i="11"/>
  <c r="S13" i="11" s="1"/>
  <c r="T11" i="11"/>
  <c r="T13" i="11" s="1"/>
  <c r="U11" i="11"/>
  <c r="U14" i="11" s="1"/>
  <c r="V11" i="11"/>
  <c r="V14" i="11" s="1"/>
  <c r="W11" i="11"/>
  <c r="X11" i="11"/>
  <c r="X14" i="11" s="1"/>
  <c r="Y11" i="11"/>
  <c r="Y12" i="11" s="1"/>
  <c r="Z11" i="11"/>
  <c r="Z12" i="11" s="1"/>
  <c r="AA11" i="11"/>
  <c r="AA13" i="11" s="1"/>
  <c r="AB11" i="11"/>
  <c r="AB13" i="11" s="1"/>
  <c r="AC11" i="11"/>
  <c r="AC14" i="11" s="1"/>
  <c r="AD11" i="11"/>
  <c r="AD14" i="11" s="1"/>
  <c r="AE11" i="11"/>
  <c r="AF11" i="11"/>
  <c r="AF14" i="11" s="1"/>
  <c r="B11" i="11"/>
  <c r="B13" i="11" s="1"/>
  <c r="C55" i="11"/>
  <c r="D55" i="11"/>
  <c r="K55" i="11"/>
  <c r="T55" i="11"/>
  <c r="AB55" i="11"/>
  <c r="C52" i="11"/>
  <c r="C54" i="11" s="1"/>
  <c r="D52" i="11"/>
  <c r="D53" i="11" s="1"/>
  <c r="E52" i="11"/>
  <c r="E53" i="11" s="1"/>
  <c r="F52" i="11"/>
  <c r="F54" i="11" s="1"/>
  <c r="G52" i="11"/>
  <c r="G54" i="11" s="1"/>
  <c r="H52" i="11"/>
  <c r="H53" i="11" s="1"/>
  <c r="I52" i="11"/>
  <c r="I53" i="11" s="1"/>
  <c r="J52" i="11"/>
  <c r="J54" i="11" s="1"/>
  <c r="K52" i="11"/>
  <c r="K54" i="11" s="1"/>
  <c r="L52" i="11"/>
  <c r="L53" i="11" s="1"/>
  <c r="M52" i="11"/>
  <c r="M53" i="11" s="1"/>
  <c r="N52" i="11"/>
  <c r="N54" i="11" s="1"/>
  <c r="O52" i="11"/>
  <c r="O54" i="11" s="1"/>
  <c r="P52" i="11"/>
  <c r="P53" i="11" s="1"/>
  <c r="Q52" i="11"/>
  <c r="Q53" i="11" s="1"/>
  <c r="R52" i="11"/>
  <c r="R54" i="11" s="1"/>
  <c r="S52" i="11"/>
  <c r="S54" i="11" s="1"/>
  <c r="T52" i="11"/>
  <c r="T53" i="11" s="1"/>
  <c r="U52" i="11"/>
  <c r="U53" i="11" s="1"/>
  <c r="V52" i="11"/>
  <c r="V54" i="11" s="1"/>
  <c r="W52" i="11"/>
  <c r="W54" i="11" s="1"/>
  <c r="X52" i="11"/>
  <c r="X53" i="11" s="1"/>
  <c r="Y52" i="11"/>
  <c r="Y53" i="11" s="1"/>
  <c r="Z52" i="11"/>
  <c r="Z54" i="11" s="1"/>
  <c r="AA52" i="11"/>
  <c r="AA54" i="11" s="1"/>
  <c r="AB52" i="11"/>
  <c r="AB53" i="11" s="1"/>
  <c r="AC52" i="11"/>
  <c r="AC53" i="11" s="1"/>
  <c r="AD52" i="11"/>
  <c r="AD54" i="11" s="1"/>
  <c r="AE52" i="11"/>
  <c r="AE54" i="11" s="1"/>
  <c r="AF52" i="11"/>
  <c r="AF53" i="11" s="1"/>
  <c r="B52" i="11"/>
  <c r="B53" i="11" s="1"/>
  <c r="AA14" i="11" l="1"/>
  <c r="K14" i="11"/>
  <c r="B14" i="11"/>
  <c r="R14" i="11"/>
  <c r="P55" i="11"/>
  <c r="Y14" i="11"/>
  <c r="Q14" i="11"/>
  <c r="I14" i="11"/>
  <c r="L55" i="11"/>
  <c r="AD13" i="11"/>
  <c r="V13" i="11"/>
  <c r="N13" i="11"/>
  <c r="F13" i="11"/>
  <c r="AB12" i="11"/>
  <c r="T12" i="11"/>
  <c r="L12" i="11"/>
  <c r="D12" i="11"/>
  <c r="X55" i="11"/>
  <c r="Z14" i="11"/>
  <c r="K12" i="11"/>
  <c r="H55" i="11"/>
  <c r="J12" i="11"/>
  <c r="S14" i="11"/>
  <c r="C14" i="11"/>
  <c r="AA12" i="11"/>
  <c r="S12" i="11"/>
  <c r="C12" i="11"/>
  <c r="AF55" i="11"/>
  <c r="G55" i="11"/>
  <c r="C28" i="4"/>
  <c r="Q24" i="4"/>
  <c r="R24" i="4" s="1"/>
  <c r="S24" i="4" s="1"/>
  <c r="T24" i="4" s="1"/>
  <c r="U24" i="4" s="1"/>
  <c r="AC61" i="2"/>
  <c r="Y61" i="2"/>
  <c r="I60" i="2"/>
  <c r="E60" i="2"/>
  <c r="AD61" i="2"/>
  <c r="Z61" i="2"/>
  <c r="V61" i="2"/>
  <c r="R61" i="2"/>
  <c r="N61" i="2"/>
  <c r="J61" i="2"/>
  <c r="F61" i="2"/>
  <c r="AD60" i="2"/>
  <c r="Z60" i="2"/>
  <c r="V60" i="2"/>
  <c r="R60" i="2"/>
  <c r="N60" i="2"/>
  <c r="J60" i="2"/>
  <c r="F60" i="2"/>
  <c r="AB61" i="2"/>
  <c r="X61" i="2"/>
  <c r="T61" i="2"/>
  <c r="P61" i="2"/>
  <c r="L61" i="2"/>
  <c r="H61" i="2"/>
  <c r="D61" i="2"/>
  <c r="AB60" i="2"/>
  <c r="X60" i="2"/>
  <c r="T60" i="2"/>
  <c r="P60" i="2"/>
  <c r="L60" i="2"/>
  <c r="D60" i="2"/>
  <c r="U61" i="2"/>
  <c r="Q61" i="2"/>
  <c r="M61" i="2"/>
  <c r="I61" i="2"/>
  <c r="E61" i="2"/>
  <c r="AC60" i="2"/>
  <c r="Y60" i="2"/>
  <c r="U60" i="2"/>
  <c r="Q60" i="2"/>
  <c r="M60" i="2"/>
  <c r="H60" i="2"/>
  <c r="AA61" i="2"/>
  <c r="W61" i="2"/>
  <c r="S61" i="2"/>
  <c r="O61" i="2"/>
  <c r="K61" i="2"/>
  <c r="G61" i="2"/>
  <c r="C61" i="2"/>
  <c r="AA60" i="2"/>
  <c r="W60" i="2"/>
  <c r="S60" i="2"/>
  <c r="O60" i="2"/>
  <c r="K60" i="2"/>
  <c r="G60" i="2"/>
  <c r="C60" i="2"/>
  <c r="Y57" i="11"/>
  <c r="E57" i="11"/>
  <c r="AC56" i="11"/>
  <c r="Y56" i="11"/>
  <c r="U56" i="11"/>
  <c r="Q56" i="11"/>
  <c r="M56" i="11"/>
  <c r="I56" i="11"/>
  <c r="E56" i="11"/>
  <c r="AE55" i="11"/>
  <c r="AA55" i="11"/>
  <c r="W55" i="11"/>
  <c r="S55" i="11"/>
  <c r="O55" i="11"/>
  <c r="AC54" i="11"/>
  <c r="Y54" i="11"/>
  <c r="U54" i="11"/>
  <c r="Q54" i="11"/>
  <c r="M54" i="11"/>
  <c r="I54" i="11"/>
  <c r="E54" i="11"/>
  <c r="AE53" i="11"/>
  <c r="AA53" i="11"/>
  <c r="W53" i="11"/>
  <c r="S53" i="11"/>
  <c r="O53" i="11"/>
  <c r="O57" i="11" s="1"/>
  <c r="K53" i="11"/>
  <c r="G53" i="11"/>
  <c r="C53" i="11"/>
  <c r="B55" i="11"/>
  <c r="AF56" i="11"/>
  <c r="AB56" i="11"/>
  <c r="X56" i="11"/>
  <c r="T56" i="11"/>
  <c r="P56" i="11"/>
  <c r="L56" i="11"/>
  <c r="H56" i="11"/>
  <c r="D56" i="11"/>
  <c r="AD55" i="11"/>
  <c r="Z55" i="11"/>
  <c r="V55" i="11"/>
  <c r="R55" i="11"/>
  <c r="N55" i="11"/>
  <c r="J55" i="11"/>
  <c r="F55" i="11"/>
  <c r="AF54" i="11"/>
  <c r="AB54" i="11"/>
  <c r="X54" i="11"/>
  <c r="T54" i="11"/>
  <c r="P54" i="11"/>
  <c r="P57" i="11" s="1"/>
  <c r="L54" i="11"/>
  <c r="H54" i="11"/>
  <c r="D54" i="11"/>
  <c r="AD53" i="11"/>
  <c r="Z53" i="11"/>
  <c r="V53" i="11"/>
  <c r="R53" i="11"/>
  <c r="N53" i="11"/>
  <c r="J53" i="11"/>
  <c r="F53" i="11"/>
  <c r="B56" i="11"/>
  <c r="B54" i="11"/>
  <c r="B57" i="11" s="1"/>
  <c r="AE56" i="11"/>
  <c r="AA56" i="11"/>
  <c r="W56" i="11"/>
  <c r="S56" i="11"/>
  <c r="O56" i="11"/>
  <c r="K56" i="11"/>
  <c r="G56" i="11"/>
  <c r="C56" i="11"/>
  <c r="AC55" i="11"/>
  <c r="Y55" i="11"/>
  <c r="U55" i="11"/>
  <c r="Q55" i="11"/>
  <c r="M55" i="11"/>
  <c r="I55" i="11"/>
  <c r="E55" i="11"/>
  <c r="AD56" i="11"/>
  <c r="Z56" i="11"/>
  <c r="V56" i="11"/>
  <c r="R56" i="11"/>
  <c r="N56" i="11"/>
  <c r="J56" i="11"/>
  <c r="F56" i="11"/>
  <c r="F59" i="2"/>
  <c r="J59" i="2"/>
  <c r="N59" i="2"/>
  <c r="R59" i="2"/>
  <c r="V59" i="2"/>
  <c r="Z59" i="2"/>
  <c r="AD59" i="2"/>
  <c r="H5" i="7"/>
  <c r="H6" i="7"/>
  <c r="H7" i="7"/>
  <c r="H8" i="7"/>
  <c r="H9" i="7"/>
  <c r="H10" i="7"/>
  <c r="H11" i="7"/>
  <c r="H12" i="7"/>
  <c r="H13" i="7"/>
  <c r="H14" i="7"/>
  <c r="H15" i="7"/>
  <c r="H16" i="7"/>
  <c r="H17" i="7"/>
  <c r="H18" i="7"/>
  <c r="H19" i="7"/>
  <c r="H20" i="7"/>
  <c r="H21" i="7"/>
  <c r="H22" i="7"/>
  <c r="H23" i="7"/>
  <c r="H24" i="7"/>
  <c r="H25" i="7"/>
  <c r="H26" i="7"/>
  <c r="B48" i="2" s="1"/>
  <c r="H4" i="7"/>
  <c r="U57" i="11" l="1"/>
  <c r="AB57" i="11"/>
  <c r="AA57" i="11"/>
  <c r="AC57" i="11"/>
  <c r="AF57" i="11"/>
  <c r="AE57" i="11"/>
  <c r="I57" i="11"/>
  <c r="L57" i="11"/>
  <c r="K57" i="11"/>
  <c r="M57" i="11"/>
  <c r="Q57" i="11"/>
  <c r="D28" i="4"/>
  <c r="V24" i="4"/>
  <c r="W24" i="4" s="1"/>
  <c r="X24" i="4" s="1"/>
  <c r="Y24" i="4" s="1"/>
  <c r="Z24" i="4" s="1"/>
  <c r="AA24" i="4" s="1"/>
  <c r="AB24" i="4" s="1"/>
  <c r="AC24" i="4" s="1"/>
  <c r="AD24" i="4" s="1"/>
  <c r="C48" i="2"/>
  <c r="D48" i="2" s="1"/>
  <c r="B53" i="2"/>
  <c r="B66" i="2" s="1"/>
  <c r="B51" i="2"/>
  <c r="B63" i="2" s="1"/>
  <c r="B52" i="2"/>
  <c r="B64" i="2" s="1"/>
  <c r="AC59" i="2"/>
  <c r="Y59" i="2"/>
  <c r="U59" i="2"/>
  <c r="Q59" i="2"/>
  <c r="M59" i="2"/>
  <c r="I59" i="2"/>
  <c r="E59" i="2"/>
  <c r="AA59" i="2"/>
  <c r="W59" i="2"/>
  <c r="S59" i="2"/>
  <c r="O59" i="2"/>
  <c r="K59" i="2"/>
  <c r="G59" i="2"/>
  <c r="AD57" i="11"/>
  <c r="J57" i="11"/>
  <c r="Z57" i="11"/>
  <c r="R57" i="11"/>
  <c r="T57" i="11"/>
  <c r="C57" i="11"/>
  <c r="S57" i="11"/>
  <c r="N57" i="11"/>
  <c r="D57" i="11"/>
  <c r="F57" i="11"/>
  <c r="V57" i="11"/>
  <c r="H57" i="11"/>
  <c r="X57" i="11"/>
  <c r="G57" i="11"/>
  <c r="W57" i="11"/>
  <c r="C59" i="2"/>
  <c r="AB59" i="2"/>
  <c r="X59" i="2"/>
  <c r="T59" i="2"/>
  <c r="P59" i="2"/>
  <c r="L59" i="2"/>
  <c r="H59" i="2"/>
  <c r="D59" i="2"/>
  <c r="F16" i="9"/>
  <c r="F15" i="9"/>
  <c r="F14" i="9"/>
  <c r="F13" i="9"/>
  <c r="F12" i="9"/>
  <c r="F11" i="9"/>
  <c r="F10" i="9"/>
  <c r="F9" i="9"/>
  <c r="F8" i="9"/>
  <c r="F7" i="9"/>
  <c r="F6" i="9"/>
  <c r="F5" i="9"/>
  <c r="D6" i="9"/>
  <c r="D7" i="9"/>
  <c r="D8" i="9"/>
  <c r="D9" i="9"/>
  <c r="D10" i="9"/>
  <c r="D11" i="9"/>
  <c r="D12" i="9"/>
  <c r="D13" i="9"/>
  <c r="D14" i="9"/>
  <c r="D15" i="9"/>
  <c r="D16" i="9"/>
  <c r="D5" i="9"/>
  <c r="J15" i="9"/>
  <c r="J14" i="9"/>
  <c r="J8" i="9"/>
  <c r="J7" i="9"/>
  <c r="J6" i="9"/>
  <c r="J5" i="9"/>
  <c r="I5" i="9"/>
  <c r="I6" i="9"/>
  <c r="I7" i="9"/>
  <c r="I8" i="9"/>
  <c r="I9" i="9"/>
  <c r="J9" i="9" s="1"/>
  <c r="I10" i="9"/>
  <c r="J10" i="9" s="1"/>
  <c r="I11" i="9"/>
  <c r="J11" i="9" s="1"/>
  <c r="I12" i="9"/>
  <c r="J12" i="9" s="1"/>
  <c r="I13" i="9"/>
  <c r="I14" i="9"/>
  <c r="I15" i="9"/>
  <c r="I4" i="9"/>
  <c r="G5" i="9"/>
  <c r="G6" i="9"/>
  <c r="H6" i="9" s="1"/>
  <c r="G7" i="9"/>
  <c r="H7" i="9" s="1"/>
  <c r="G8" i="9"/>
  <c r="H8" i="9" s="1"/>
  <c r="G9" i="9"/>
  <c r="G10" i="9"/>
  <c r="H10" i="9" s="1"/>
  <c r="G11" i="9"/>
  <c r="H11" i="9" s="1"/>
  <c r="G12" i="9"/>
  <c r="G13" i="9"/>
  <c r="H13" i="9" s="1"/>
  <c r="G14" i="9"/>
  <c r="H14" i="9" s="1"/>
  <c r="G15" i="9"/>
  <c r="H15" i="9" s="1"/>
  <c r="G4" i="9"/>
  <c r="H12" i="9" l="1"/>
  <c r="J13" i="9"/>
  <c r="H5" i="9"/>
  <c r="H9" i="9"/>
  <c r="E28" i="4"/>
  <c r="F28" i="4" s="1"/>
  <c r="B65" i="2"/>
  <c r="B67" i="2" s="1"/>
  <c r="D51" i="2"/>
  <c r="D63" i="2" s="1"/>
  <c r="D53" i="2"/>
  <c r="D66" i="2" s="1"/>
  <c r="D52" i="2"/>
  <c r="D64" i="2" s="1"/>
  <c r="C53" i="2"/>
  <c r="C66" i="2" s="1"/>
  <c r="C72" i="2" s="1"/>
  <c r="C51" i="2"/>
  <c r="C63" i="2" s="1"/>
  <c r="C52" i="2"/>
  <c r="C64" i="2" s="1"/>
  <c r="C70" i="2" s="1"/>
  <c r="E48" i="2"/>
  <c r="E18" i="8"/>
  <c r="C15" i="8"/>
  <c r="C14" i="8"/>
  <c r="C13" i="8"/>
  <c r="C12" i="8"/>
  <c r="C11" i="8"/>
  <c r="C10" i="8"/>
  <c r="C9" i="8"/>
  <c r="C8" i="8"/>
  <c r="C7" i="8"/>
  <c r="C6" i="8"/>
  <c r="E17" i="8"/>
  <c r="E29" i="7"/>
  <c r="E28" i="7"/>
  <c r="E27" i="7"/>
  <c r="C26" i="7"/>
  <c r="C25" i="7"/>
  <c r="C24" i="7"/>
  <c r="C23" i="7"/>
  <c r="C22" i="7"/>
  <c r="C21" i="7"/>
  <c r="C20" i="7"/>
  <c r="C19" i="7"/>
  <c r="C18" i="7"/>
  <c r="C17" i="7"/>
  <c r="C28" i="7" s="1"/>
  <c r="C16" i="7"/>
  <c r="C15" i="7"/>
  <c r="C14" i="7"/>
  <c r="C13" i="7"/>
  <c r="C12" i="7"/>
  <c r="C11" i="7"/>
  <c r="C10" i="7"/>
  <c r="C9" i="7"/>
  <c r="C8" i="7"/>
  <c r="C7" i="7"/>
  <c r="C6" i="7"/>
  <c r="C5" i="7"/>
  <c r="C29" i="7" l="1"/>
  <c r="C27" i="7"/>
  <c r="C65" i="2"/>
  <c r="D65" i="2"/>
  <c r="D70" i="2"/>
  <c r="D72" i="2"/>
  <c r="C69" i="2"/>
  <c r="E52" i="2"/>
  <c r="E64" i="2" s="1"/>
  <c r="E70" i="2" s="1"/>
  <c r="E51" i="2"/>
  <c r="E63" i="2" s="1"/>
  <c r="E53" i="2"/>
  <c r="E66" i="2" s="1"/>
  <c r="E72" i="2" s="1"/>
  <c r="F48" i="2"/>
  <c r="D69" i="2"/>
  <c r="C16" i="8"/>
  <c r="C18" i="8" s="1"/>
  <c r="E19" i="1"/>
  <c r="D19" i="1"/>
  <c r="C19" i="1"/>
  <c r="B19" i="1"/>
  <c r="E15" i="1"/>
  <c r="D15" i="1"/>
  <c r="C15" i="1"/>
  <c r="B15" i="1"/>
  <c r="C10" i="6"/>
  <c r="F10" i="6"/>
  <c r="F12" i="6"/>
  <c r="G12" i="6"/>
  <c r="C7" i="6"/>
  <c r="C11" i="6" s="1"/>
  <c r="D7" i="6"/>
  <c r="D10" i="6" s="1"/>
  <c r="E7" i="6"/>
  <c r="E11" i="6" s="1"/>
  <c r="F7" i="6"/>
  <c r="F11" i="6" s="1"/>
  <c r="G7" i="6"/>
  <c r="G11" i="6" s="1"/>
  <c r="B7" i="6"/>
  <c r="B11" i="6" s="1"/>
  <c r="H5" i="6"/>
  <c r="H6" i="6"/>
  <c r="H4" i="6"/>
  <c r="D11" i="6" l="1"/>
  <c r="D13" i="6" s="1"/>
  <c r="E12" i="6"/>
  <c r="D12" i="6"/>
  <c r="B10" i="6"/>
  <c r="B13" i="6" s="1"/>
  <c r="C12" i="6"/>
  <c r="G10" i="6"/>
  <c r="G13" i="6" s="1"/>
  <c r="C13" i="6"/>
  <c r="F13" i="6"/>
  <c r="B12" i="6"/>
  <c r="E10" i="6"/>
  <c r="E13" i="6" s="1"/>
  <c r="D67" i="2"/>
  <c r="D73" i="2" s="1"/>
  <c r="D71" i="2"/>
  <c r="C67" i="2"/>
  <c r="C73" i="2" s="1"/>
  <c r="C71" i="2"/>
  <c r="E65" i="2"/>
  <c r="F53" i="2"/>
  <c r="F66" i="2" s="1"/>
  <c r="F72" i="2" s="1"/>
  <c r="F52" i="2"/>
  <c r="F64" i="2" s="1"/>
  <c r="F70" i="2" s="1"/>
  <c r="F51" i="2"/>
  <c r="F63" i="2" s="1"/>
  <c r="F65" i="2" s="1"/>
  <c r="F71" i="2" s="1"/>
  <c r="G48" i="2"/>
  <c r="E69" i="2"/>
  <c r="C17" i="8"/>
  <c r="F19" i="1"/>
  <c r="H7" i="6"/>
  <c r="H11" i="6" s="1"/>
  <c r="G41" i="1"/>
  <c r="H12" i="6" l="1"/>
  <c r="H10" i="6"/>
  <c r="H13" i="6" s="1"/>
  <c r="E67" i="2"/>
  <c r="E73" i="2" s="1"/>
  <c r="E71" i="2"/>
  <c r="F67" i="2"/>
  <c r="F69" i="2"/>
  <c r="G51" i="2"/>
  <c r="G63" i="2" s="1"/>
  <c r="G65" i="2" s="1"/>
  <c r="G71" i="2" s="1"/>
  <c r="G53" i="2"/>
  <c r="G66" i="2" s="1"/>
  <c r="G72" i="2" s="1"/>
  <c r="G52" i="2"/>
  <c r="G64" i="2" s="1"/>
  <c r="G70" i="2" s="1"/>
  <c r="H48" i="2"/>
  <c r="I9" i="4"/>
  <c r="E4" i="4"/>
  <c r="F4" i="4" s="1"/>
  <c r="G4" i="4" s="1"/>
  <c r="H4" i="4" s="1"/>
  <c r="I4" i="4" s="1"/>
  <c r="J4" i="4" s="1"/>
  <c r="K4" i="4" s="1"/>
  <c r="L4" i="4" s="1"/>
  <c r="M4" i="4" s="1"/>
  <c r="N4" i="4" s="1"/>
  <c r="O4" i="4" s="1"/>
  <c r="P4" i="4" s="1"/>
  <c r="Q4" i="4" s="1"/>
  <c r="R4" i="4" s="1"/>
  <c r="S4" i="4" s="1"/>
  <c r="T4" i="4" s="1"/>
  <c r="U4" i="4" s="1"/>
  <c r="V4" i="4" s="1"/>
  <c r="W4" i="4" s="1"/>
  <c r="X4" i="4" s="1"/>
  <c r="Y4" i="4" s="1"/>
  <c r="Z4" i="4" s="1"/>
  <c r="AA4" i="4" s="1"/>
  <c r="AB4" i="4" s="1"/>
  <c r="AC4" i="4" s="1"/>
  <c r="AD4" i="4" s="1"/>
  <c r="E5" i="4"/>
  <c r="F5" i="4" s="1"/>
  <c r="G5" i="4" s="1"/>
  <c r="H5" i="4" s="1"/>
  <c r="I5" i="4" s="1"/>
  <c r="J5" i="4" s="1"/>
  <c r="K5" i="4" s="1"/>
  <c r="L5" i="4" s="1"/>
  <c r="M5" i="4" s="1"/>
  <c r="N5" i="4" s="1"/>
  <c r="O5" i="4" s="1"/>
  <c r="P5" i="4" s="1"/>
  <c r="Q5" i="4" s="1"/>
  <c r="R5" i="4" s="1"/>
  <c r="S5" i="4" s="1"/>
  <c r="T5" i="4" s="1"/>
  <c r="U5" i="4" s="1"/>
  <c r="V5" i="4" s="1"/>
  <c r="W5" i="4" s="1"/>
  <c r="X5" i="4" s="1"/>
  <c r="Y5" i="4" s="1"/>
  <c r="Z5" i="4" s="1"/>
  <c r="AA5" i="4" s="1"/>
  <c r="AB5" i="4" s="1"/>
  <c r="AC5" i="4" s="1"/>
  <c r="AD5" i="4" s="1"/>
  <c r="E3" i="4"/>
  <c r="F3" i="4" s="1"/>
  <c r="G3" i="4" s="1"/>
  <c r="H3" i="4" s="1"/>
  <c r="I3" i="4" s="1"/>
  <c r="J3" i="4" s="1"/>
  <c r="F73" i="2" l="1"/>
  <c r="G67" i="2"/>
  <c r="G73" i="2" s="1"/>
  <c r="C15" i="4"/>
  <c r="E15" i="4"/>
  <c r="B15" i="4"/>
  <c r="D15" i="4"/>
  <c r="AE4" i="4"/>
  <c r="G69" i="2"/>
  <c r="H51" i="2"/>
  <c r="H63" i="2" s="1"/>
  <c r="H52" i="2"/>
  <c r="H64" i="2" s="1"/>
  <c r="H70" i="2" s="1"/>
  <c r="H53" i="2"/>
  <c r="H66" i="2" s="1"/>
  <c r="H72" i="2" s="1"/>
  <c r="I48" i="2"/>
  <c r="B16" i="4"/>
  <c r="C16" i="4"/>
  <c r="D16" i="4"/>
  <c r="E16" i="4"/>
  <c r="AE5" i="4"/>
  <c r="J9" i="4"/>
  <c r="B14" i="4"/>
  <c r="K3" i="4"/>
  <c r="C6" i="4"/>
  <c r="D6" i="4"/>
  <c r="E6" i="4" s="1"/>
  <c r="F6" i="4" s="1"/>
  <c r="G6" i="4" s="1"/>
  <c r="H6" i="4" s="1"/>
  <c r="I6" i="4" s="1"/>
  <c r="B6" i="4"/>
  <c r="H65" i="2" l="1"/>
  <c r="J6" i="4"/>
  <c r="K6" i="4" s="1"/>
  <c r="F15" i="4"/>
  <c r="F16" i="4"/>
  <c r="H69" i="2"/>
  <c r="I52" i="2"/>
  <c r="I64" i="2" s="1"/>
  <c r="I70" i="2" s="1"/>
  <c r="I51" i="2"/>
  <c r="I63" i="2" s="1"/>
  <c r="I53" i="2"/>
  <c r="I66" i="2" s="1"/>
  <c r="I72" i="2" s="1"/>
  <c r="J48" i="2"/>
  <c r="L3" i="4"/>
  <c r="M3" i="4" s="1"/>
  <c r="N3" i="4" s="1"/>
  <c r="O3" i="4" s="1"/>
  <c r="P3" i="4" s="1"/>
  <c r="K9" i="4"/>
  <c r="B19" i="4"/>
  <c r="E31" i="1"/>
  <c r="D31" i="1"/>
  <c r="C31" i="1"/>
  <c r="B31" i="1"/>
  <c r="E17" i="1"/>
  <c r="D17" i="1"/>
  <c r="C17" i="1"/>
  <c r="B17" i="1"/>
  <c r="H67" i="2" l="1"/>
  <c r="H73" i="2" s="1"/>
  <c r="H71" i="2"/>
  <c r="I69" i="2"/>
  <c r="I65" i="2"/>
  <c r="B39" i="4"/>
  <c r="B17" i="4"/>
  <c r="B38" i="4" s="1"/>
  <c r="C14" i="4"/>
  <c r="L6" i="4"/>
  <c r="M6" i="4" s="1"/>
  <c r="N6" i="4" s="1"/>
  <c r="O6" i="4" s="1"/>
  <c r="P6" i="4" s="1"/>
  <c r="J53" i="2"/>
  <c r="J66" i="2" s="1"/>
  <c r="J72" i="2" s="1"/>
  <c r="J52" i="2"/>
  <c r="J64" i="2" s="1"/>
  <c r="J70" i="2" s="1"/>
  <c r="J51" i="2"/>
  <c r="J63" i="2" s="1"/>
  <c r="J65" i="2" s="1"/>
  <c r="J71" i="2" s="1"/>
  <c r="K48" i="2"/>
  <c r="F31" i="1"/>
  <c r="L9" i="4"/>
  <c r="M9" i="4" s="1"/>
  <c r="N9" i="4" s="1"/>
  <c r="O9" i="4" s="1"/>
  <c r="P9" i="4" s="1"/>
  <c r="Q3" i="4"/>
  <c r="C39" i="2"/>
  <c r="C76" i="2" s="1"/>
  <c r="D76" i="2" s="1"/>
  <c r="E76" i="2" s="1"/>
  <c r="F76" i="2" s="1"/>
  <c r="G76" i="2" s="1"/>
  <c r="H76" i="2" s="1"/>
  <c r="D39" i="2"/>
  <c r="C77" i="2" s="1"/>
  <c r="D77" i="2" s="1"/>
  <c r="E77" i="2" s="1"/>
  <c r="F77" i="2" s="1"/>
  <c r="G77" i="2" s="1"/>
  <c r="E39" i="2"/>
  <c r="C78" i="2" s="1"/>
  <c r="D78" i="2" s="1"/>
  <c r="E78" i="2" s="1"/>
  <c r="F78" i="2" s="1"/>
  <c r="G78" i="2" s="1"/>
  <c r="F39" i="2"/>
  <c r="C79" i="2" s="1"/>
  <c r="D79" i="2" s="1"/>
  <c r="E79" i="2" s="1"/>
  <c r="F79" i="2" s="1"/>
  <c r="G79" i="2" s="1"/>
  <c r="H79" i="2" s="1"/>
  <c r="G39" i="2"/>
  <c r="C80" i="2" s="1"/>
  <c r="D80" i="2" s="1"/>
  <c r="E80" i="2" s="1"/>
  <c r="F80" i="2" s="1"/>
  <c r="G80" i="2" s="1"/>
  <c r="H80" i="2" s="1"/>
  <c r="B39" i="2"/>
  <c r="C75" i="2" s="1"/>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6" i="3"/>
  <c r="A37" i="3"/>
  <c r="B37" i="3" s="1"/>
  <c r="H78" i="2" l="1"/>
  <c r="I67" i="2"/>
  <c r="I73" i="2" s="1"/>
  <c r="I79" i="2" s="1"/>
  <c r="I71" i="2"/>
  <c r="I80" i="2" s="1"/>
  <c r="H77" i="2"/>
  <c r="J67" i="2"/>
  <c r="I77" i="2"/>
  <c r="I76" i="2"/>
  <c r="B20" i="4"/>
  <c r="Q6" i="4"/>
  <c r="R6" i="4" s="1"/>
  <c r="S6" i="4" s="1"/>
  <c r="T6" i="4" s="1"/>
  <c r="U6" i="4" s="1"/>
  <c r="C17" i="4"/>
  <c r="C38" i="4" s="1"/>
  <c r="D75" i="2"/>
  <c r="C81" i="2"/>
  <c r="J69" i="2"/>
  <c r="J73" i="2"/>
  <c r="K53" i="2"/>
  <c r="K66" i="2" s="1"/>
  <c r="K72" i="2" s="1"/>
  <c r="K52" i="2"/>
  <c r="K64" i="2" s="1"/>
  <c r="K70" i="2" s="1"/>
  <c r="K51" i="2"/>
  <c r="K63" i="2" s="1"/>
  <c r="L48" i="2"/>
  <c r="H39" i="2"/>
  <c r="R3" i="4"/>
  <c r="S3" i="4" s="1"/>
  <c r="T3" i="4" s="1"/>
  <c r="U3" i="4" s="1"/>
  <c r="Q9" i="4"/>
  <c r="C19" i="4"/>
  <c r="C9" i="1"/>
  <c r="C20" i="1" s="1"/>
  <c r="D9" i="1"/>
  <c r="D20" i="1" s="1"/>
  <c r="E9" i="1"/>
  <c r="E20" i="1" s="1"/>
  <c r="B9" i="1"/>
  <c r="B20" i="1" s="1"/>
  <c r="B90" i="2" l="1"/>
  <c r="B91" i="2"/>
  <c r="K65" i="2"/>
  <c r="J80" i="2"/>
  <c r="K67" i="2"/>
  <c r="K73" i="2" s="1"/>
  <c r="K71" i="2"/>
  <c r="I78" i="2"/>
  <c r="J76" i="2"/>
  <c r="B87" i="2" s="1"/>
  <c r="C20" i="4"/>
  <c r="C39" i="4"/>
  <c r="D14" i="4"/>
  <c r="V6" i="4"/>
  <c r="W6" i="4" s="1"/>
  <c r="X6" i="4" s="1"/>
  <c r="Y6" i="4" s="1"/>
  <c r="Z6" i="4" s="1"/>
  <c r="AA6" i="4" s="1"/>
  <c r="AB6" i="4" s="1"/>
  <c r="AC6" i="4" s="1"/>
  <c r="AD6" i="4" s="1"/>
  <c r="D17" i="4"/>
  <c r="D38" i="4" s="1"/>
  <c r="J79" i="2"/>
  <c r="J77" i="2"/>
  <c r="B88" i="2" s="1"/>
  <c r="D81" i="2"/>
  <c r="E75" i="2"/>
  <c r="K69" i="2"/>
  <c r="L51" i="2"/>
  <c r="L63" i="2" s="1"/>
  <c r="L53" i="2"/>
  <c r="L66" i="2" s="1"/>
  <c r="L72" i="2" s="1"/>
  <c r="L52" i="2"/>
  <c r="L64" i="2" s="1"/>
  <c r="L70" i="2" s="1"/>
  <c r="M48" i="2"/>
  <c r="B28" i="1"/>
  <c r="B29" i="1"/>
  <c r="R9" i="4"/>
  <c r="V3" i="4"/>
  <c r="F9" i="1"/>
  <c r="F17" i="1"/>
  <c r="F15" i="1"/>
  <c r="F14" i="1"/>
  <c r="F12" i="1"/>
  <c r="F10" i="1"/>
  <c r="F8" i="1"/>
  <c r="L65" i="2" l="1"/>
  <c r="B25" i="1"/>
  <c r="L67" i="2"/>
  <c r="L73" i="2" s="1"/>
  <c r="L71" i="2"/>
  <c r="B24" i="1"/>
  <c r="J78" i="2"/>
  <c r="K78" i="2" s="1"/>
  <c r="K80" i="2"/>
  <c r="AE6" i="4"/>
  <c r="E17" i="4"/>
  <c r="E38" i="4" s="1"/>
  <c r="E81" i="2"/>
  <c r="F75" i="2"/>
  <c r="K77" i="2"/>
  <c r="K79" i="2"/>
  <c r="K76" i="2"/>
  <c r="L69" i="2"/>
  <c r="M52" i="2"/>
  <c r="M64" i="2" s="1"/>
  <c r="M70" i="2" s="1"/>
  <c r="M53" i="2"/>
  <c r="M66" i="2" s="1"/>
  <c r="M72" i="2" s="1"/>
  <c r="M51" i="2"/>
  <c r="M63" i="2" s="1"/>
  <c r="M65" i="2" s="1"/>
  <c r="N48" i="2"/>
  <c r="M69" i="2"/>
  <c r="F20" i="1"/>
  <c r="S9" i="4"/>
  <c r="T9" i="4" s="1"/>
  <c r="U9" i="4" s="1"/>
  <c r="W3" i="4"/>
  <c r="B89" i="2" l="1"/>
  <c r="B27" i="1" s="1"/>
  <c r="M67" i="2"/>
  <c r="M73" i="2" s="1"/>
  <c r="M71" i="2"/>
  <c r="L80" i="2"/>
  <c r="L79" i="2"/>
  <c r="D19" i="4"/>
  <c r="F17" i="4"/>
  <c r="F38" i="4" s="1"/>
  <c r="L76" i="2"/>
  <c r="L78" i="2"/>
  <c r="F81" i="2"/>
  <c r="G75" i="2"/>
  <c r="L77" i="2"/>
  <c r="N53" i="2"/>
  <c r="N66" i="2" s="1"/>
  <c r="N72" i="2" s="1"/>
  <c r="N52" i="2"/>
  <c r="N64" i="2" s="1"/>
  <c r="N70" i="2" s="1"/>
  <c r="N51" i="2"/>
  <c r="N63" i="2" s="1"/>
  <c r="O48" i="2"/>
  <c r="X3" i="4"/>
  <c r="V9" i="4"/>
  <c r="W9" i="4" s="1"/>
  <c r="X9" i="4" s="1"/>
  <c r="Y9" i="4" s="1"/>
  <c r="Z9" i="4" s="1"/>
  <c r="AA9" i="4" s="1"/>
  <c r="AB9" i="4" s="1"/>
  <c r="AC9" i="4" s="1"/>
  <c r="AD9" i="4" s="1"/>
  <c r="AE9" i="4" s="1"/>
  <c r="M80" i="2" l="1"/>
  <c r="N69" i="2"/>
  <c r="N65" i="2"/>
  <c r="D20" i="4"/>
  <c r="D39" i="4"/>
  <c r="M77" i="2"/>
  <c r="H75" i="2"/>
  <c r="G81" i="2"/>
  <c r="M78" i="2"/>
  <c r="M79" i="2"/>
  <c r="M76" i="2"/>
  <c r="O52" i="2"/>
  <c r="O64" i="2" s="1"/>
  <c r="O70" i="2" s="1"/>
  <c r="O53" i="2"/>
  <c r="O66" i="2" s="1"/>
  <c r="O72" i="2" s="1"/>
  <c r="O51" i="2"/>
  <c r="O63" i="2" s="1"/>
  <c r="P48" i="2"/>
  <c r="E19" i="4"/>
  <c r="Y3" i="4"/>
  <c r="Z3" i="4" s="1"/>
  <c r="AA3" i="4" s="1"/>
  <c r="AB3" i="4" s="1"/>
  <c r="AC3" i="4" s="1"/>
  <c r="AD3" i="4" s="1"/>
  <c r="N67" i="2" l="1"/>
  <c r="N73" i="2" s="1"/>
  <c r="N76" i="2" s="1"/>
  <c r="N71" i="2"/>
  <c r="N80" i="2" s="1"/>
  <c r="O69" i="2"/>
  <c r="O65" i="2"/>
  <c r="E39" i="4"/>
  <c r="E20" i="4"/>
  <c r="F19" i="4"/>
  <c r="E14" i="4"/>
  <c r="F14" i="4" s="1"/>
  <c r="AE3" i="4"/>
  <c r="N79" i="2"/>
  <c r="N77" i="2"/>
  <c r="I75" i="2"/>
  <c r="H81" i="2"/>
  <c r="P51" i="2"/>
  <c r="P63" i="2" s="1"/>
  <c r="P52" i="2"/>
  <c r="P64" i="2" s="1"/>
  <c r="P70" i="2" s="1"/>
  <c r="P53" i="2"/>
  <c r="P66" i="2" s="1"/>
  <c r="P72" i="2" s="1"/>
  <c r="Q48" i="2"/>
  <c r="N78" i="2" l="1"/>
  <c r="O67" i="2"/>
  <c r="O73" i="2" s="1"/>
  <c r="O79" i="2" s="1"/>
  <c r="C90" i="2" s="1"/>
  <c r="O71" i="2"/>
  <c r="O80" i="2" s="1"/>
  <c r="C91" i="2" s="1"/>
  <c r="P65" i="2"/>
  <c r="F39" i="4"/>
  <c r="F20" i="4"/>
  <c r="J75" i="2"/>
  <c r="B86" i="2" s="1"/>
  <c r="I81" i="2"/>
  <c r="O76" i="2"/>
  <c r="C87" i="2" s="1"/>
  <c r="O77" i="2"/>
  <c r="C88" i="2" s="1"/>
  <c r="P69" i="2"/>
  <c r="Q52" i="2"/>
  <c r="Q64" i="2" s="1"/>
  <c r="Q70" i="2" s="1"/>
  <c r="Q51" i="2"/>
  <c r="Q63" i="2" s="1"/>
  <c r="Q53" i="2"/>
  <c r="Q66" i="2" s="1"/>
  <c r="Q72" i="2" s="1"/>
  <c r="R48" i="2"/>
  <c r="C28" i="1" l="1"/>
  <c r="C25" i="1"/>
  <c r="C29" i="1"/>
  <c r="C24" i="1"/>
  <c r="B92" i="2"/>
  <c r="B23" i="1"/>
  <c r="B32" i="1" s="1"/>
  <c r="B33" i="1" s="1"/>
  <c r="P80" i="2"/>
  <c r="Q65" i="2"/>
  <c r="Q71" i="2" s="1"/>
  <c r="O78" i="2"/>
  <c r="C89" i="2" s="1"/>
  <c r="P67" i="2"/>
  <c r="P73" i="2" s="1"/>
  <c r="P76" i="2" s="1"/>
  <c r="P71" i="2"/>
  <c r="P78" i="2"/>
  <c r="K75" i="2"/>
  <c r="J81" i="2"/>
  <c r="Q69" i="2"/>
  <c r="R53" i="2"/>
  <c r="R66" i="2" s="1"/>
  <c r="R72" i="2" s="1"/>
  <c r="R51" i="2"/>
  <c r="R63" i="2" s="1"/>
  <c r="R52" i="2"/>
  <c r="R64" i="2" s="1"/>
  <c r="R70" i="2" s="1"/>
  <c r="S48" i="2"/>
  <c r="Q67" i="2" l="1"/>
  <c r="Q80" i="2"/>
  <c r="C27" i="1"/>
  <c r="Q73" i="2"/>
  <c r="Q78" i="2" s="1"/>
  <c r="P77" i="2"/>
  <c r="R65" i="2"/>
  <c r="R71" i="2" s="1"/>
  <c r="P79" i="2"/>
  <c r="R67" i="2"/>
  <c r="R73" i="2" s="1"/>
  <c r="L75" i="2"/>
  <c r="K81" i="2"/>
  <c r="R69" i="2"/>
  <c r="S53" i="2"/>
  <c r="S66" i="2" s="1"/>
  <c r="S72" i="2" s="1"/>
  <c r="S52" i="2"/>
  <c r="S64" i="2" s="1"/>
  <c r="S70" i="2" s="1"/>
  <c r="S51" i="2"/>
  <c r="S63" i="2" s="1"/>
  <c r="T48" i="2"/>
  <c r="Q76" i="2" l="1"/>
  <c r="Q77" i="2"/>
  <c r="R77" i="2" s="1"/>
  <c r="R80" i="2"/>
  <c r="Q79" i="2"/>
  <c r="S65" i="2"/>
  <c r="M75" i="2"/>
  <c r="L81" i="2"/>
  <c r="R78" i="2"/>
  <c r="S69" i="2"/>
  <c r="T51" i="2"/>
  <c r="T63" i="2" s="1"/>
  <c r="T53" i="2"/>
  <c r="T66" i="2" s="1"/>
  <c r="T72" i="2" s="1"/>
  <c r="T52" i="2"/>
  <c r="T64" i="2" s="1"/>
  <c r="T70" i="2" s="1"/>
  <c r="U48" i="2"/>
  <c r="R76" i="2" l="1"/>
  <c r="R79" i="2"/>
  <c r="S80" i="2"/>
  <c r="S67" i="2"/>
  <c r="S73" i="2" s="1"/>
  <c r="S77" i="2" s="1"/>
  <c r="S71" i="2"/>
  <c r="T65" i="2"/>
  <c r="S79" i="2"/>
  <c r="N75" i="2"/>
  <c r="M81" i="2"/>
  <c r="S76" i="2"/>
  <c r="T69" i="2"/>
  <c r="U52" i="2"/>
  <c r="U64" i="2" s="1"/>
  <c r="U70" i="2" s="1"/>
  <c r="U53" i="2"/>
  <c r="U66" i="2" s="1"/>
  <c r="U72" i="2" s="1"/>
  <c r="U51" i="2"/>
  <c r="U63" i="2" s="1"/>
  <c r="V48" i="2"/>
  <c r="T67" i="2" l="1"/>
  <c r="T73" i="2" s="1"/>
  <c r="T71" i="2"/>
  <c r="T80" i="2"/>
  <c r="D91" i="2" s="1"/>
  <c r="U65" i="2"/>
  <c r="S78" i="2"/>
  <c r="T78" i="2" s="1"/>
  <c r="D89" i="2" s="1"/>
  <c r="T76" i="2"/>
  <c r="D87" i="2" s="1"/>
  <c r="T79" i="2"/>
  <c r="D90" i="2" s="1"/>
  <c r="O75" i="2"/>
  <c r="C86" i="2" s="1"/>
  <c r="N81" i="2"/>
  <c r="T77" i="2"/>
  <c r="D88" i="2" s="1"/>
  <c r="U69" i="2"/>
  <c r="V53" i="2"/>
  <c r="V66" i="2" s="1"/>
  <c r="V72" i="2" s="1"/>
  <c r="V52" i="2"/>
  <c r="V64" i="2" s="1"/>
  <c r="V70" i="2" s="1"/>
  <c r="V51" i="2"/>
  <c r="V63" i="2" s="1"/>
  <c r="W48" i="2"/>
  <c r="D25" i="1" l="1"/>
  <c r="D28" i="1"/>
  <c r="U67" i="2"/>
  <c r="U73" i="2" s="1"/>
  <c r="U78" i="2" s="1"/>
  <c r="U71" i="2"/>
  <c r="U80" i="2" s="1"/>
  <c r="D24" i="1"/>
  <c r="V65" i="2"/>
  <c r="C92" i="2"/>
  <c r="C23" i="1"/>
  <c r="C32" i="1" s="1"/>
  <c r="C33" i="1" s="1"/>
  <c r="P75" i="2"/>
  <c r="O81" i="2"/>
  <c r="U76" i="2"/>
  <c r="V69" i="2"/>
  <c r="W51" i="2"/>
  <c r="W63" i="2" s="1"/>
  <c r="W53" i="2"/>
  <c r="W66" i="2" s="1"/>
  <c r="W72" i="2" s="1"/>
  <c r="W52" i="2"/>
  <c r="W64" i="2" s="1"/>
  <c r="W70" i="2" s="1"/>
  <c r="X48" i="2"/>
  <c r="U79" i="2" l="1"/>
  <c r="U77" i="2"/>
  <c r="D29" i="1"/>
  <c r="D27" i="1"/>
  <c r="V67" i="2"/>
  <c r="V73" i="2" s="1"/>
  <c r="V71" i="2"/>
  <c r="V80" i="2" s="1"/>
  <c r="W65" i="2"/>
  <c r="Q75" i="2"/>
  <c r="P81" i="2"/>
  <c r="V76" i="2"/>
  <c r="V78" i="2"/>
  <c r="V79" i="2"/>
  <c r="W69" i="2"/>
  <c r="X51" i="2"/>
  <c r="X63" i="2" s="1"/>
  <c r="X53" i="2"/>
  <c r="X66" i="2" s="1"/>
  <c r="X72" i="2" s="1"/>
  <c r="X52" i="2"/>
  <c r="X64" i="2" s="1"/>
  <c r="X70" i="2" s="1"/>
  <c r="Y48" i="2"/>
  <c r="V77" i="2" l="1"/>
  <c r="W77" i="2" s="1"/>
  <c r="W67" i="2"/>
  <c r="W73" i="2" s="1"/>
  <c r="W76" i="2" s="1"/>
  <c r="W71" i="2"/>
  <c r="W80" i="2" s="1"/>
  <c r="X65" i="2"/>
  <c r="R75" i="2"/>
  <c r="Q81" i="2"/>
  <c r="X69" i="2"/>
  <c r="Y52" i="2"/>
  <c r="Y64" i="2" s="1"/>
  <c r="Y70" i="2" s="1"/>
  <c r="Y51" i="2"/>
  <c r="Y63" i="2" s="1"/>
  <c r="Y65" i="2" s="1"/>
  <c r="Y53" i="2"/>
  <c r="Y66" i="2" s="1"/>
  <c r="Y72" i="2" s="1"/>
  <c r="Z48" i="2"/>
  <c r="W78" i="2" l="1"/>
  <c r="W79" i="2"/>
  <c r="X80" i="2"/>
  <c r="Y80" i="2" s="1"/>
  <c r="Y67" i="2"/>
  <c r="Y71" i="2"/>
  <c r="X67" i="2"/>
  <c r="X73" i="2" s="1"/>
  <c r="X76" i="2" s="1"/>
  <c r="X71" i="2"/>
  <c r="S75" i="2"/>
  <c r="R81" i="2"/>
  <c r="Y69" i="2"/>
  <c r="Z53" i="2"/>
  <c r="Z66" i="2" s="1"/>
  <c r="Z72" i="2" s="1"/>
  <c r="Z52" i="2"/>
  <c r="Z64" i="2" s="1"/>
  <c r="Z70" i="2" s="1"/>
  <c r="Z51" i="2"/>
  <c r="Z63" i="2" s="1"/>
  <c r="AA48" i="2"/>
  <c r="Z65" i="2" l="1"/>
  <c r="Z67" i="2"/>
  <c r="Z71" i="2"/>
  <c r="Z80" i="2" s="1"/>
  <c r="X78" i="2"/>
  <c r="Y78" i="2" s="1"/>
  <c r="X77" i="2"/>
  <c r="X79" i="2"/>
  <c r="Y73" i="2"/>
  <c r="T75" i="2"/>
  <c r="D86" i="2" s="1"/>
  <c r="S81" i="2"/>
  <c r="Y76" i="2"/>
  <c r="Z69" i="2"/>
  <c r="Z73" i="2"/>
  <c r="AA52" i="2"/>
  <c r="AA64" i="2" s="1"/>
  <c r="AA70" i="2" s="1"/>
  <c r="AA53" i="2"/>
  <c r="AA66" i="2" s="1"/>
  <c r="AA72" i="2" s="1"/>
  <c r="AA51" i="2"/>
  <c r="AA63" i="2" s="1"/>
  <c r="AB48" i="2"/>
  <c r="Y77" i="2" l="1"/>
  <c r="D92" i="2"/>
  <c r="D23" i="1"/>
  <c r="D32" i="1" s="1"/>
  <c r="D33" i="1" s="1"/>
  <c r="AA65" i="2"/>
  <c r="Y79" i="2"/>
  <c r="Z79" i="2" s="1"/>
  <c r="Z77" i="2"/>
  <c r="Z76" i="2"/>
  <c r="U75" i="2"/>
  <c r="T81" i="2"/>
  <c r="Z78" i="2"/>
  <c r="AA69" i="2"/>
  <c r="AB51" i="2"/>
  <c r="AB63" i="2" s="1"/>
  <c r="AB53" i="2"/>
  <c r="AB66" i="2" s="1"/>
  <c r="AB72" i="2" s="1"/>
  <c r="AB52" i="2"/>
  <c r="AB64" i="2" s="1"/>
  <c r="AB70" i="2" s="1"/>
  <c r="AC48" i="2"/>
  <c r="AA67" i="2" l="1"/>
  <c r="AA73" i="2" s="1"/>
  <c r="AA78" i="2" s="1"/>
  <c r="AA71" i="2"/>
  <c r="AA80" i="2" s="1"/>
  <c r="AB65" i="2"/>
  <c r="AA79" i="2"/>
  <c r="AA76" i="2"/>
  <c r="AA77" i="2"/>
  <c r="V75" i="2"/>
  <c r="U81" i="2"/>
  <c r="AB69" i="2"/>
  <c r="AC52" i="2"/>
  <c r="AC64" i="2" s="1"/>
  <c r="AC70" i="2" s="1"/>
  <c r="AC51" i="2"/>
  <c r="AC63" i="2" s="1"/>
  <c r="AC65" i="2" s="1"/>
  <c r="AC53" i="2"/>
  <c r="AC66" i="2" s="1"/>
  <c r="AC72" i="2" s="1"/>
  <c r="AD48" i="2"/>
  <c r="AC67" i="2" l="1"/>
  <c r="AC71" i="2"/>
  <c r="AB67" i="2"/>
  <c r="AB73" i="2" s="1"/>
  <c r="AB76" i="2" s="1"/>
  <c r="AB71" i="2"/>
  <c r="AB80" i="2" s="1"/>
  <c r="AC80" i="2" s="1"/>
  <c r="W75" i="2"/>
  <c r="V81" i="2"/>
  <c r="AC69" i="2"/>
  <c r="AD53" i="2"/>
  <c r="AD66" i="2" s="1"/>
  <c r="AD72" i="2" s="1"/>
  <c r="AD52" i="2"/>
  <c r="AD64" i="2" s="1"/>
  <c r="AD70" i="2" s="1"/>
  <c r="AD51" i="2"/>
  <c r="AD63" i="2" s="1"/>
  <c r="AC73" i="2" l="1"/>
  <c r="AC76" i="2" s="1"/>
  <c r="AB79" i="2"/>
  <c r="AC79" i="2" s="1"/>
  <c r="AB77" i="2"/>
  <c r="AB78" i="2"/>
  <c r="AC78" i="2" s="1"/>
  <c r="AD65" i="2"/>
  <c r="AC77" i="2"/>
  <c r="X75" i="2"/>
  <c r="W81" i="2"/>
  <c r="AD69" i="2"/>
  <c r="AD67" i="2" l="1"/>
  <c r="AD73" i="2" s="1"/>
  <c r="AD77" i="2" s="1"/>
  <c r="E88" i="2" s="1"/>
  <c r="AD71" i="2"/>
  <c r="AD80" i="2" s="1"/>
  <c r="E91" i="2" s="1"/>
  <c r="AD76" i="2"/>
  <c r="E87" i="2" s="1"/>
  <c r="Y75" i="2"/>
  <c r="X81" i="2"/>
  <c r="AD79" i="2"/>
  <c r="E90" i="2" s="1"/>
  <c r="AE77" i="2" l="1"/>
  <c r="AE80" i="2"/>
  <c r="AE79" i="2"/>
  <c r="AD78" i="2"/>
  <c r="E89" i="2" s="1"/>
  <c r="AE76" i="2"/>
  <c r="Z75" i="2"/>
  <c r="Y81" i="2"/>
  <c r="E28" i="1" l="1"/>
  <c r="F90" i="2"/>
  <c r="F28" i="1" s="1"/>
  <c r="E29" i="1"/>
  <c r="F91" i="2"/>
  <c r="F29" i="1" s="1"/>
  <c r="AE78" i="2"/>
  <c r="E25" i="1"/>
  <c r="F88" i="2"/>
  <c r="F25" i="1" s="1"/>
  <c r="E24" i="1"/>
  <c r="F87" i="2"/>
  <c r="F24" i="1" s="1"/>
  <c r="AA75" i="2"/>
  <c r="Z81" i="2"/>
  <c r="E27" i="1" l="1"/>
  <c r="F89" i="2"/>
  <c r="F27" i="1" s="1"/>
  <c r="AB75" i="2"/>
  <c r="AA81" i="2"/>
  <c r="AC75" i="2" l="1"/>
  <c r="AB81" i="2"/>
  <c r="AD75" i="2" l="1"/>
  <c r="E86" i="2" s="1"/>
  <c r="AC81" i="2"/>
  <c r="AD81" i="2" l="1"/>
  <c r="AE75" i="2"/>
  <c r="E92" i="2" l="1"/>
  <c r="E23" i="1"/>
  <c r="E32" i="1" s="1"/>
  <c r="E33" i="1" s="1"/>
  <c r="F86" i="2"/>
  <c r="B82" i="2"/>
  <c r="AE81" i="2"/>
  <c r="F92" i="2" l="1"/>
  <c r="F23" i="1"/>
  <c r="F32" i="1" s="1"/>
  <c r="F33" i="1" s="1"/>
</calcChain>
</file>

<file path=xl/sharedStrings.xml><?xml version="1.0" encoding="utf-8"?>
<sst xmlns="http://schemas.openxmlformats.org/spreadsheetml/2006/main" count="476" uniqueCount="323">
  <si>
    <t>Broward MPO</t>
  </si>
  <si>
    <t>2040 Revenue Forecast</t>
  </si>
  <si>
    <t>Capacity Programs</t>
  </si>
  <si>
    <t>Transit</t>
  </si>
  <si>
    <t>2019-2020</t>
  </si>
  <si>
    <t>2021-2025</t>
  </si>
  <si>
    <t>2026-2030</t>
  </si>
  <si>
    <t>2031-2040</t>
  </si>
  <si>
    <t>Strategic Intermodal System (SIS) Highways Construction &amp; Right of Way (ROW)</t>
  </si>
  <si>
    <t>Transportation Management Area (TMA)</t>
  </si>
  <si>
    <t>TMA Funds</t>
  </si>
  <si>
    <t>Transportation Alternatives</t>
  </si>
  <si>
    <t>TALU (&gt; 200,000 population)</t>
  </si>
  <si>
    <t>TALT (Any Area)</t>
  </si>
  <si>
    <t>Transportation Regional Incentive Program (TRIP)</t>
  </si>
  <si>
    <t>New Starts Transit</t>
  </si>
  <si>
    <t>State Highway System (SHS) Operations and Maintenance (O&amp;M)</t>
  </si>
  <si>
    <t>FDOT Revenue Estimates (Federal and State)</t>
  </si>
  <si>
    <t>22 Year Total</t>
  </si>
  <si>
    <t>Not Avail</t>
  </si>
  <si>
    <t>Dollars in Millions</t>
  </si>
  <si>
    <t>State Motor Fuel Taxes Distributed to County</t>
  </si>
  <si>
    <t>Required Matching Funds</t>
  </si>
  <si>
    <t>Other Arterials Construction &amp; ROW - Capacity</t>
  </si>
  <si>
    <t>Other Arterials Construction &amp; ROW - Preliminary Engineering</t>
  </si>
  <si>
    <t>Eligible Use(s)</t>
  </si>
  <si>
    <t>Constitutional Fuel Tax</t>
  </si>
  <si>
    <t>County Fuel Tax</t>
  </si>
  <si>
    <t>transit &amp; highway; all can be used for Off-System roads</t>
  </si>
  <si>
    <t>Municipal Fuel Tax (Municipal Revenue Sharing Program)</t>
  </si>
  <si>
    <t>NA</t>
  </si>
  <si>
    <t>Municipal Fuel Tax</t>
  </si>
  <si>
    <t>2012 Local Government Information Handbook</t>
  </si>
  <si>
    <t>Calculated by the Florida Department of Revenue's Office of Tax Research</t>
  </si>
  <si>
    <t>Coconut Creek</t>
  </si>
  <si>
    <t>Cooper City</t>
  </si>
  <si>
    <t>Coral Springs</t>
  </si>
  <si>
    <t>Dania Beach</t>
  </si>
  <si>
    <t>Davie</t>
  </si>
  <si>
    <t>Deerfield Beach</t>
  </si>
  <si>
    <t>Fort Lauderdale</t>
  </si>
  <si>
    <t>Hallandale Beach</t>
  </si>
  <si>
    <t>Hillsboro Beach</t>
  </si>
  <si>
    <t>Hollywood</t>
  </si>
  <si>
    <t>Lauderdale-By-The-Sea</t>
  </si>
  <si>
    <t>Lauderdale Lakes</t>
  </si>
  <si>
    <t>Lauderhill</t>
  </si>
  <si>
    <t>Lazy Lake</t>
  </si>
  <si>
    <t>Lighthouse Point</t>
  </si>
  <si>
    <t>Margate</t>
  </si>
  <si>
    <t>Miramar</t>
  </si>
  <si>
    <t>North Lauderdale</t>
  </si>
  <si>
    <t>Oakland Park</t>
  </si>
  <si>
    <t>Parkland</t>
  </si>
  <si>
    <t>Pembroke Park</t>
  </si>
  <si>
    <t>Pembroke Pines</t>
  </si>
  <si>
    <t>Plantation</t>
  </si>
  <si>
    <t>Pompano Beach</t>
  </si>
  <si>
    <t>Sea Ranch Lakes</t>
  </si>
  <si>
    <t>Southwest Ranches</t>
  </si>
  <si>
    <t>Sunrise</t>
  </si>
  <si>
    <t>Tamarac</t>
  </si>
  <si>
    <t>West Park</t>
  </si>
  <si>
    <t>Weston</t>
  </si>
  <si>
    <t>Wilton Manors</t>
  </si>
  <si>
    <t>Total Distribution</t>
  </si>
  <si>
    <t>Portion to be Expended on Transportation</t>
  </si>
  <si>
    <t>Locally Imposed Fuel Taxes (Local Option Fuel Taxes)</t>
  </si>
  <si>
    <t>6-Cent Local Option Gas Tax</t>
  </si>
  <si>
    <t>5-Cent Capital Improvement Local Option Gas Tax</t>
  </si>
  <si>
    <t>Municipal Fuel Tax - Municipal Revenue Sharing Program</t>
  </si>
  <si>
    <t>Ninth-Cent Fuel Tax</t>
  </si>
  <si>
    <t>County</t>
  </si>
  <si>
    <t>Countywide Total</t>
  </si>
  <si>
    <t>6-Cent Local Option Fuel Tax</t>
  </si>
  <si>
    <t>5-Cent Local Option Fuel Tax</t>
  </si>
  <si>
    <t>Not distributed to municipalities</t>
  </si>
  <si>
    <t>All distributed to municipalities</t>
  </si>
  <si>
    <t>Distributed to County &amp; municipalities</t>
  </si>
  <si>
    <t>Summary for LRTP</t>
  </si>
  <si>
    <t>County &amp; municipal transportation expenditures</t>
  </si>
  <si>
    <t>County &amp; municipal transportation expenditures to complete capital improvements in adopted local government comprehensive plan</t>
  </si>
  <si>
    <t>Municipal transportation-related expenses</t>
  </si>
  <si>
    <t>TRIP Funds</t>
  </si>
  <si>
    <t>TOTAL</t>
  </si>
  <si>
    <t>must be identified as illustrative projects; new or expanded transit</t>
  </si>
  <si>
    <t>must be identified as illustrative projects; eligibility is based on status of regional transportation planning</t>
  </si>
  <si>
    <t>County debt service backed by tax (if any) &amp; acquisition, construction, maint. of roads</t>
  </si>
  <si>
    <t>Transportation Concurrency Fees</t>
  </si>
  <si>
    <t>Broward County Transit (BCT)</t>
  </si>
  <si>
    <t>BCT Operating (not included elsewhere)</t>
  </si>
  <si>
    <t>BCT Capital (not included elsewhere)</t>
  </si>
  <si>
    <t>Local Revenues</t>
  </si>
  <si>
    <t>Agency Revenues</t>
  </si>
  <si>
    <t>County Contribution to Tri-Rail/SFRTA</t>
  </si>
  <si>
    <t>Local general funds</t>
  </si>
  <si>
    <t>State operating assistance</t>
  </si>
  <si>
    <t>Federal grants</t>
  </si>
  <si>
    <t>Operating</t>
  </si>
  <si>
    <t>BCT (not included in other MPO funds)</t>
  </si>
  <si>
    <t>Capital</t>
  </si>
  <si>
    <t>2013 Revised</t>
  </si>
  <si>
    <t>2014 Budget</t>
  </si>
  <si>
    <t>2012 Actual</t>
  </si>
  <si>
    <t>Charges for Services/Fares</t>
  </si>
  <si>
    <t>Source: Broward County 2014 Recommended Operating and Capital Budgets</t>
  </si>
  <si>
    <t>2040 Revenue Forecast Handbook</t>
  </si>
  <si>
    <t>Appendix D, page D-2</t>
  </si>
  <si>
    <t>From</t>
  </si>
  <si>
    <t>To</t>
  </si>
  <si>
    <t>Annual Rate</t>
  </si>
  <si>
    <t>2021 &amp; beyond</t>
  </si>
  <si>
    <t>each year</t>
  </si>
  <si>
    <t>2014-18 Budget</t>
  </si>
  <si>
    <t>2019-2040</t>
  </si>
  <si>
    <t>Following 2014 operating and 2018 capital inflated based on assumptions provided in 2040 Revenue Forecast Handbook D-2</t>
  </si>
  <si>
    <t>Combine for transit &amp; highway; FDOT requests transit funding level as transit minimum; may be supplemented with TMA funds; 10% of OAC&amp;ROW can be used for Off-System roads; Prelim Eng is an additional 22% of Capacity amt per pg 13 of 2040 Handbook</t>
  </si>
  <si>
    <t>Must be used in the District in which it was collected. Broward has 10 Districts</t>
  </si>
  <si>
    <t>2014-2015</t>
  </si>
  <si>
    <t>2016-2020</t>
  </si>
  <si>
    <t>27 Year Total</t>
  </si>
  <si>
    <t>Per 2040 Handbook, LRTP will meet expectations if it contains a summary of FDOT estimates to operate &amp; maintain the State Highway System in the FDOT District in which the MPO is located</t>
  </si>
  <si>
    <t>Separate from MPO revenues, provide just as FDOT summary for District</t>
  </si>
  <si>
    <t>2014-15*</t>
  </si>
  <si>
    <t>2016-20</t>
  </si>
  <si>
    <t>2021-25</t>
  </si>
  <si>
    <t>2026-30</t>
  </si>
  <si>
    <t>2031-35</t>
  </si>
  <si>
    <t>2036-40</t>
  </si>
  <si>
    <t>27-year Total** (2014-2040)</t>
  </si>
  <si>
    <t>Federal</t>
  </si>
  <si>
    <t>State</t>
  </si>
  <si>
    <t>Turnpike</t>
  </si>
  <si>
    <t>Total</t>
  </si>
  <si>
    <t>Federal and State 2040 Revenue Forecast</t>
  </si>
  <si>
    <t>County transportation-related expenses</t>
  </si>
  <si>
    <t>County or municipal transportation expenditures</t>
  </si>
  <si>
    <t>TALT must be identified as illustrative projects; any of defined list of 'transportation alternatives,' &amp; rec trails, safe routes to school</t>
  </si>
  <si>
    <t>These figures assume 50% of District funds are allocated to Broward (Broward pop is 48% of District)</t>
  </si>
  <si>
    <t>These figures assume 50% of District funds are allocated to Broward (same as 2035 plan &amp; Broward pop is 48% of District)</t>
  </si>
  <si>
    <t>state share is limited to 50% of non-federal share (25% overall) &amp; local funding must at least match state {could be 50% fed, 25% state, 25% local}</t>
  </si>
  <si>
    <t>New Starts Transit Funds</t>
  </si>
  <si>
    <t>Broward Daily VMT</t>
  </si>
  <si>
    <t>Avg 1990-2012</t>
  </si>
  <si>
    <t>CAGR 1990-2012</t>
  </si>
  <si>
    <t>Avg 2002-2012</t>
  </si>
  <si>
    <t>CAGR 2002-2012</t>
  </si>
  <si>
    <t>Avg 2008-2012</t>
  </si>
  <si>
    <t>CAGR 2008-2012</t>
  </si>
  <si>
    <t>Public Roads: All roads under the State Highway System, the County Road System, and the City Road System, plus public roads administered by various branches of the U.S. government. Does not include private subdivision roads or roads within shopping centers or other large private areas.</t>
  </si>
  <si>
    <t>Daily Vehicle Miles Traveled on Public Roads in Florida</t>
  </si>
  <si>
    <t>Source: FDOT Transportation Statistics Office. http://www.dot.state.fl.us/planning/statistics/mileage-rpts/public.shtm</t>
  </si>
  <si>
    <t>Highway Statistics, Motor Fuel Volume Taxed</t>
  </si>
  <si>
    <t>Table MF-2, 2000-2011, State of Florida</t>
  </si>
  <si>
    <t>Net Total Volume</t>
  </si>
  <si>
    <t>Avg 2000-2011</t>
  </si>
  <si>
    <t>CAGR 2000-2011</t>
  </si>
  <si>
    <t>Avg 2007-2012</t>
  </si>
  <si>
    <t>[confirm: INCLUDE passenger fares &amp; county general funding; NOT state op assistance LOGTs, trans concurrency funds and state/federal capital grants which should all be in prior #s? OR does Fed $ go direct to BCT and therefore not captured in FDOT’s 2040 Revenue Forecast?]  Based on 2014 budget and inflated based on rates provided on pD-2 of 2040 Handbook</t>
  </si>
  <si>
    <t>see above</t>
  </si>
  <si>
    <t>[confirm: INCLUDE passenger fares &amp; broward county operating funding; NOT broward county capital funding since gas taxes are included above &amp; not state/federal capital grants since all should be in prior #s correct? OR does Fed $ go direct to Tri-Rail and therefore not captured in FDOT’s 2040 Revenue Forecast?] Per SFRTA Legislative Act: County dedicates 2.67M annually (can come from gas taxes and is itemized in capital budget as County gas tax, so not counted here to avoid double counting) and $1.565M for operations (including that here as could come from County general funds)</t>
  </si>
  <si>
    <t>No local match required</t>
  </si>
  <si>
    <t>TRIP will fund up to 50% of project costs (p14 2040 Revenue Forecast Handbook)</t>
  </si>
  <si>
    <t>These figures assume 10% of statewide funds are allocated to Broward (same as 2035 plan)</t>
  </si>
  <si>
    <t>Volume Per VMT</t>
  </si>
  <si>
    <t>Net Total Volume - State of FL*</t>
  </si>
  <si>
    <t>*Highway Statistics, Motor Fuel Volume Taxed. Table MF-2, 2000-2011, State of Florida</t>
  </si>
  <si>
    <t>Daily VMT - Broward County**</t>
  </si>
  <si>
    <t>** FDOT Transportation Statistics Office. http://www.dot.state.fl.us/planning/statistics/mileage-rpts/public.shtm</t>
  </si>
  <si>
    <t>Statewide DVMT</t>
  </si>
  <si>
    <t>Daily VMT - Statewide**</t>
  </si>
  <si>
    <t>thousands of gallons</t>
  </si>
  <si>
    <t>Volume/DVMT Statewide</t>
  </si>
  <si>
    <t>Growth in Vol/DVMT Statewide</t>
  </si>
  <si>
    <t>Fuel Economy</t>
  </si>
  <si>
    <t>Statewide Vol/DVMT Broward</t>
  </si>
  <si>
    <t>Methodology</t>
  </si>
  <si>
    <t>Light-Duty Vehicle Miles per Gallon by Technology Type, Reference case</t>
  </si>
  <si>
    <t>(miles per gallon gasoline equivalent)</t>
  </si>
  <si>
    <t>Technology Type</t>
  </si>
  <si>
    <t>Growth Rate (2011-2040)</t>
  </si>
  <si>
    <t>New Car Miles per Gallon 1/</t>
  </si>
  <si>
    <t> Conventional Cars</t>
  </si>
  <si>
    <t>   Gasoline ICE Vehicles</t>
  </si>
  <si>
    <t>   TDI Diesel ICE</t>
  </si>
  <si>
    <t> Alternative-Fuel Cars</t>
  </si>
  <si>
    <t>   Ethanol-Flex Fuel ICE</t>
  </si>
  <si>
    <t>   100 Mile Electric Vehicle</t>
  </si>
  <si>
    <t>   200 Mile Electric Vehicle</t>
  </si>
  <si>
    <t>   Plug-in 10 Gasoline Hybrid</t>
  </si>
  <si>
    <t>- -</t>
  </si>
  <si>
    <t>   Plug-in 40 Gasoline Hybrid</t>
  </si>
  <si>
    <t>   Electric-Diesel Hybrid</t>
  </si>
  <si>
    <t>   Electric-Gasoline Hybrid</t>
  </si>
  <si>
    <t>   Natural Gas ICE</t>
  </si>
  <si>
    <t>   Natural Gas Bi-fuel</t>
  </si>
  <si>
    <t>   Propane ICE</t>
  </si>
  <si>
    <t>   Propane Bi-fuel</t>
  </si>
  <si>
    <t>   Fuel Cell Gasoline</t>
  </si>
  <si>
    <t>   Fuel Cell Methanol</t>
  </si>
  <si>
    <t>   Fuel Cell Hydrogen</t>
  </si>
  <si>
    <t> Average New Cars Miles per Gallon</t>
  </si>
  <si>
    <t>New Light Truck Miles per Gallon 1/</t>
  </si>
  <si>
    <t> Conventional Light Trucks</t>
  </si>
  <si>
    <t> Alternative-Fuel Light Trucks</t>
  </si>
  <si>
    <t> Average Light Truck Miles per Gallon</t>
  </si>
  <si>
    <t>Average New Vehicle Miles per Gallon</t>
  </si>
  <si>
    <t>Average Car Stock Miles per Gallon 2/</t>
  </si>
  <si>
    <t>Average Light Truck Stock Miles per Gallon 2/</t>
  </si>
  <si>
    <t>Average Vehicle Stock Miles per Gallon 2/</t>
  </si>
  <si>
    <t>   1/ Fuel efficiencies are EPA rated.  Includes personal and fleet vehicles.</t>
  </si>
  <si>
    <t>   2/ Stock values are on-road efficiencies.  Includes personal vehicles and fleet vehicles.</t>
  </si>
  <si>
    <t>   MPG = Miles per Gallon.</t>
  </si>
  <si>
    <t>   ICE = Internal combustion engine.</t>
  </si>
  <si>
    <t>   Sources:  2010 and 2011 derived using:  National Highway Traffic and Safety</t>
  </si>
  <si>
    <t>Administration, Summary of Fuel Economy Performance (Washington, DC, October 2012);</t>
  </si>
  <si>
    <t>Federal Highway Administration, Highway Statistics 2010 (Washington, DC, February 2012);</t>
  </si>
  <si>
    <t>and EIA, AEO2013 National Energy Modeling System.  Projections:  EIA, AEO2013</t>
  </si>
  <si>
    <t>National Energy Modeling System.</t>
  </si>
  <si>
    <t>Annual Broward VMT</t>
  </si>
  <si>
    <t>Projected Consumption (gallons)</t>
  </si>
  <si>
    <t>Annual Percentage Growth in Consumption</t>
  </si>
  <si>
    <t>Annual Percentage Growth in MPG</t>
  </si>
  <si>
    <t>Transportation Sector Key Indicators and Delivered Energy Consumption, Reference case</t>
  </si>
  <si>
    <t>Key Indicators and Consumption</t>
  </si>
  <si>
    <t>Key Indicators</t>
  </si>
  <si>
    <t>Travel Indicators</t>
  </si>
  <si>
    <t> (billion vehicle miles traveled)</t>
  </si>
  <si>
    <t>   Light-Duty Vehicles less than 8501 pounds</t>
  </si>
  <si>
    <t>   Commercial Light Trucks 1/</t>
  </si>
  <si>
    <t>   Freight Trucks greater than 10000 pounds</t>
  </si>
  <si>
    <t> (billion seat miles available)</t>
  </si>
  <si>
    <t>   Air</t>
  </si>
  <si>
    <t> (billion ton miles traveled)</t>
  </si>
  <si>
    <t>   Rail</t>
  </si>
  <si>
    <t>   Domestic Shipping</t>
  </si>
  <si>
    <t>Energy Efficiency Indicators</t>
  </si>
  <si>
    <t> (miles per gallon)</t>
  </si>
  <si>
    <t>   New Light-Duty Vehicle CAFE Standard 2/</t>
  </si>
  <si>
    <t>     New Car</t>
  </si>
  <si>
    <t>     New Light Truck</t>
  </si>
  <si>
    <t>   Compliance New Light-Duty Vehicle 3/</t>
  </si>
  <si>
    <t>   Tested New Light-Duty Vehicle 4/</t>
  </si>
  <si>
    <t>   On-Road New Light-Duty Vehicle 5/</t>
  </si>
  <si>
    <t>   Light-Duty Stock 6/</t>
  </si>
  <si>
    <t>   New Commercial Light Truck 1/</t>
  </si>
  <si>
    <t>   Stock Commercial Light Truck 1/</t>
  </si>
  <si>
    <t>   Freight Truck</t>
  </si>
  <si>
    <t> (seat miles per gallon)</t>
  </si>
  <si>
    <t>   Aircraft</t>
  </si>
  <si>
    <t> (ton miles/thousand Btu)</t>
  </si>
  <si>
    <t>Energy Use by Mode</t>
  </si>
  <si>
    <t>  (quadrillion Btu)</t>
  </si>
  <si>
    <t>    Light-Duty Vehicles</t>
  </si>
  <si>
    <t>    Commercial Light Trucks 1/</t>
  </si>
  <si>
    <t>    Bus Transportation</t>
  </si>
  <si>
    <t>    Freight Trucks</t>
  </si>
  <si>
    <t>    Rail, Passenger</t>
  </si>
  <si>
    <t>    Rail, Freight</t>
  </si>
  <si>
    <t>    Shipping, Domestic</t>
  </si>
  <si>
    <t>    Shipping, International</t>
  </si>
  <si>
    <t>    Recreational Boats</t>
  </si>
  <si>
    <t>    Air</t>
  </si>
  <si>
    <t>    Military Use</t>
  </si>
  <si>
    <t>    Lubricants</t>
  </si>
  <si>
    <t>    Pipeline Fuel</t>
  </si>
  <si>
    <t>      Total</t>
  </si>
  <si>
    <t>  (million barrels per day oil equivalent)</t>
  </si>
  <si>
    <t>   1/ Commercial trucks 8,501 to 10,000 pounds gross vehicle weight rating.</t>
  </si>
  <si>
    <t>   2/ CAFE standard based on projected new vehicle sales.</t>
  </si>
  <si>
    <t>   3/ Includes CAFE credits for alternative fueled vehicles sales and credit banking.</t>
  </si>
  <si>
    <t>   4/ Environmental Protection Agency rated miles per gallon.</t>
  </si>
  <si>
    <t>   5/ Tested new vehicle efficiency revised for on-road performance.</t>
  </si>
  <si>
    <t>   6/ Combined "on-the-road" estimate for all cars and light trucks.</t>
  </si>
  <si>
    <t>   CAFE = Corporate average fuel economy.</t>
  </si>
  <si>
    <t>   Btu = British thermal unit.</t>
  </si>
  <si>
    <t>   Note:  Totals may not equal sum of components due to independent rounding.  Data for 2010 and 2011</t>
  </si>
  <si>
    <t>are model results and may differ slightly from official EIA data reports.</t>
  </si>
  <si>
    <t>   Sources:  2010 and 2011:  U.S. Energy Information Administration (EIA), Annual Energy Review</t>
  </si>
  <si>
    <t>2011, DOE/EIA-0384(2011) (Washington, DC, September 2012);</t>
  </si>
  <si>
    <t>EIA, Alternatives to Traditional Transportation Fuels 2009 (Part II - User and Fuel Data), April 2011;</t>
  </si>
  <si>
    <t>EIA, State Energy Data System 2010, DOE/EIA-0214(2010) (Washington, DC, June 2012);</t>
  </si>
  <si>
    <t>Oak Ridge National Laboratory, Transportation Energy Data Book:  Edition 31 (Oak Ridge, TN, July 2012);</t>
  </si>
  <si>
    <t>National Highway Traffic and Safety Administration, Summary of Fuel Economy Performance (Washington, DC, October 2012);</t>
  </si>
  <si>
    <t>U.S. Department of Commerce, Bureau of the Census, "Vehicle Inventory and Use Survey," EC02TV (Washington, DC, December 2004);</t>
  </si>
  <si>
    <t>U.S. Department of Transportation, Research and Special Programs Administration, Air Carrier Statistics Monthly,</t>
  </si>
  <si>
    <t>December 2010/2009 (Washington, DC, December 2010); and United States Department of Defense, Defense Fuel Supply Center,</t>
  </si>
  <si>
    <t>Factbook (January 2010).  Projections:  EIA, AEO2013 National Energy Modeling System.</t>
  </si>
  <si>
    <t>Broward VMT* by Mode - Based on EIA National Projection of VMT by Mode</t>
  </si>
  <si>
    <t>LDV</t>
  </si>
  <si>
    <t>Commercial Light Trucks</t>
  </si>
  <si>
    <t>Freight Trucks</t>
  </si>
  <si>
    <t>Commercial Light Truck Stock </t>
  </si>
  <si>
    <t>Light-Duty Stock</t>
  </si>
  <si>
    <t>Freight Truck Stock</t>
  </si>
  <si>
    <t>1) Break down projected annual VMT for Broward by mode based on EIA's national projection of VMT by mode</t>
  </si>
  <si>
    <r>
      <t>2) Divide projected annual VMT by mode</t>
    </r>
    <r>
      <rPr>
        <sz val="11"/>
        <color rgb="FFFF0000"/>
        <rFont val="Calibri"/>
        <family val="2"/>
        <scheme val="minor"/>
      </rPr>
      <t xml:space="preserve"> </t>
    </r>
    <r>
      <rPr>
        <sz val="11"/>
        <color theme="1"/>
        <rFont val="Calibri"/>
        <family val="2"/>
        <scheme val="minor"/>
      </rPr>
      <t>by projected annual national MPG of each mode to arrive at projected consumption</t>
    </r>
  </si>
  <si>
    <t>Countywide VMT</t>
  </si>
  <si>
    <t>3) Total consumption for each mode and calculate annual percentage growth in consumption</t>
  </si>
  <si>
    <t>Projected National MPG - based on EIA Data</t>
  </si>
  <si>
    <t xml:space="preserve">Projected Revenues - from 2013 estimates provided in the 2012 Local Government Financial Information Handbook </t>
  </si>
  <si>
    <t xml:space="preserve">Local Gas Tax Growth </t>
  </si>
  <si>
    <t>CAGR 2019-2040</t>
  </si>
  <si>
    <t>Tri-Rail passenger fares</t>
  </si>
  <si>
    <t>Pasenger Fares</t>
  </si>
  <si>
    <t>2013 Budget</t>
  </si>
  <si>
    <t>Fares</t>
  </si>
  <si>
    <t>Assumptions</t>
  </si>
  <si>
    <t>Assumes 0% growth; Broward County Capital Budget includes $4.029M annually for FY14-18; Wade looking into projected growth</t>
  </si>
  <si>
    <t>Districtwide SHS O&amp;M Funds</t>
  </si>
  <si>
    <t>5-Cent Local Option Fuel Tax (gas only, not diesel)</t>
  </si>
  <si>
    <t>LDV and Light Truck Total</t>
  </si>
  <si>
    <t>applied to gas only, not diesel</t>
  </si>
  <si>
    <t>4) Grow 2013 Revenue Estimate by projected annual % change in Consumption (for 5-cent tax only grow by projected change in consumption of LDV and Light trucks since tax not imposed on diesel)</t>
  </si>
  <si>
    <t>STATE AND FEDERAL TOTAL</t>
  </si>
  <si>
    <t>LOCAL TOTAL</t>
  </si>
  <si>
    <t>ALL FUNDS TOTAL</t>
  </si>
  <si>
    <t>TriRail (not included elsewhere)</t>
  </si>
  <si>
    <t>Federal Funds</t>
  </si>
  <si>
    <t>County statutory operating assistance</t>
  </si>
  <si>
    <t>Annual Percentage Growth*</t>
  </si>
  <si>
    <t>* Annual Rate of Change is equal to BEBR Medium Population Estimate (March 13) as Compounded between forecast periods</t>
  </si>
  <si>
    <t>Broward VMT (currently assumes BEBR Medium Population Estimate (Mar 2013) Annual Compound Rate of Growth)</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</si>
</sst>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_(* #,##0.0_);_(* \(#,##0.0\);_(* &quot;-&quot;??_);_(@_)"/>
    <numFmt numFmtId="165" formatCode="0.0"/>
    <numFmt numFmtId="166" formatCode="_(&quot;$&quot;* #,##0_);_(&quot;$&quot;* \(#,##0\);_(&quot;$&quot;* &quot;-&quot;??_);_(@_)"/>
    <numFmt numFmtId="167" formatCode="&quot;$&quot;#,##0"/>
    <numFmt numFmtId="168" formatCode="&quot;$&quot;#,##0.0"/>
    <numFmt numFmtId="169" formatCode="&quot;$&quot;#,##0.00"/>
    <numFmt numFmtId="170" formatCode="###0__"/>
    <numFmt numFmtId="171" formatCode="0.0%"/>
    <numFmt numFmtId="172" formatCode="_(* #,##0_);_(* \(#,##0\);_(* &quot;-&quot;??_);_(@_)"/>
  </numFmts>
  <fonts count="17">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sz val="11"/>
      <name val="Calibri"/>
      <family val="2"/>
      <scheme val="minor"/>
    </font>
    <font>
      <b/>
      <sz val="11"/>
      <color rgb="FF0070C0"/>
      <name val="Calibri"/>
      <family val="2"/>
      <scheme val="minor"/>
    </font>
    <font>
      <b/>
      <sz val="10"/>
      <name val="Arial"/>
      <family val="2"/>
    </font>
    <font>
      <sz val="10"/>
      <name val="Geneva"/>
    </font>
    <font>
      <sz val="9"/>
      <name val="Arial"/>
      <family val="2"/>
    </font>
    <font>
      <sz val="10"/>
      <name val="Arial"/>
      <family val="2"/>
    </font>
    <font>
      <sz val="10"/>
      <name val="Helv"/>
    </font>
    <font>
      <b/>
      <sz val="12"/>
      <name val="Arial"/>
      <family val="2"/>
    </font>
    <font>
      <b/>
      <sz val="13.5"/>
      <color theme="1"/>
      <name val="Calibri"/>
      <family val="2"/>
      <scheme val="minor"/>
    </font>
    <font>
      <sz val="11"/>
      <color theme="0"/>
      <name val="Calibri"/>
      <family val="2"/>
      <scheme val="minor"/>
    </font>
    <font>
      <b/>
      <sz val="11"/>
      <name val="Calibri"/>
      <family val="2"/>
      <scheme val="minor"/>
    </font>
  </fonts>
  <fills count="6">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40" fontId="9" fillId="0" borderId="0" applyFont="0" applyFill="0" applyBorder="0" applyAlignment="0" applyProtection="0"/>
    <xf numFmtId="40" fontId="9" fillId="0" borderId="0" applyFont="0" applyFill="0" applyBorder="0" applyAlignment="0" applyProtection="0"/>
    <xf numFmtId="40" fontId="9" fillId="0" borderId="0" applyFont="0" applyFill="0" applyBorder="0" applyAlignment="0" applyProtection="0"/>
    <xf numFmtId="40" fontId="9" fillId="0" borderId="0" applyFont="0" applyFill="0" applyBorder="0" applyAlignment="0" applyProtection="0"/>
    <xf numFmtId="0" fontId="12" fillId="0" borderId="0"/>
    <xf numFmtId="0" fontId="12" fillId="0" borderId="0"/>
  </cellStyleXfs>
  <cellXfs count="159">
    <xf numFmtId="0" fontId="0" fillId="0" borderId="0" xfId="0"/>
    <xf numFmtId="0" fontId="4" fillId="0" borderId="0" xfId="0" applyFont="1"/>
    <xf numFmtId="0" fontId="2" fillId="2" borderId="0" xfId="0" applyFont="1" applyFill="1"/>
    <xf numFmtId="0" fontId="0" fillId="0" borderId="0" xfId="0" applyAlignment="1">
      <alignment horizontal="center"/>
    </xf>
    <xf numFmtId="0" fontId="4" fillId="0" borderId="0" xfId="0" applyFont="1" applyAlignment="1">
      <alignment horizontal="center"/>
    </xf>
    <xf numFmtId="0" fontId="0" fillId="3" borderId="0" xfId="0" applyFill="1"/>
    <xf numFmtId="0" fontId="4" fillId="3" borderId="0" xfId="0" applyFont="1" applyFill="1"/>
    <xf numFmtId="164" fontId="0" fillId="0" borderId="0" xfId="1" applyNumberFormat="1" applyFont="1"/>
    <xf numFmtId="0" fontId="0" fillId="0" borderId="0" xfId="0" applyAlignment="1">
      <alignment horizontal="left" indent="2"/>
    </xf>
    <xf numFmtId="165" fontId="0" fillId="0" borderId="0" xfId="0" applyNumberFormat="1"/>
    <xf numFmtId="0" fontId="4" fillId="0" borderId="0" xfId="0" applyFont="1" applyAlignment="1">
      <alignment horizontal="center"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center" wrapText="1"/>
    </xf>
    <xf numFmtId="3" fontId="0" fillId="0" borderId="0" xfId="0" applyNumberFormat="1" applyAlignment="1">
      <alignment wrapText="1"/>
    </xf>
    <xf numFmtId="166" fontId="0" fillId="0" borderId="0" xfId="2" applyNumberFormat="1" applyFont="1"/>
    <xf numFmtId="166" fontId="0" fillId="0" borderId="0" xfId="0" applyNumberFormat="1"/>
    <xf numFmtId="166" fontId="4" fillId="0" borderId="0" xfId="0" applyNumberFormat="1" applyFont="1"/>
    <xf numFmtId="10" fontId="5" fillId="0" borderId="0" xfId="3" applyNumberFormat="1" applyFont="1" applyAlignment="1">
      <alignment horizontal="center"/>
    </xf>
    <xf numFmtId="0" fontId="0" fillId="0" borderId="0" xfId="0" applyFont="1"/>
    <xf numFmtId="167" fontId="0" fillId="0" borderId="0" xfId="0" applyNumberFormat="1" applyFont="1"/>
    <xf numFmtId="167" fontId="0" fillId="0" borderId="0" xfId="0" applyNumberFormat="1"/>
    <xf numFmtId="167" fontId="4" fillId="0" borderId="0" xfId="0" applyNumberFormat="1" applyFont="1"/>
    <xf numFmtId="0" fontId="0" fillId="0" borderId="0" xfId="0" applyBorder="1"/>
    <xf numFmtId="165" fontId="4" fillId="0" borderId="0" xfId="0" applyNumberFormat="1" applyFont="1"/>
    <xf numFmtId="0" fontId="0" fillId="0" borderId="0" xfId="0" applyAlignment="1">
      <alignment horizontal="center" wrapText="1"/>
    </xf>
    <xf numFmtId="168" fontId="4" fillId="0" borderId="0" xfId="2" applyNumberFormat="1" applyFont="1"/>
    <xf numFmtId="169" fontId="0" fillId="0" borderId="0" xfId="0" applyNumberFormat="1"/>
    <xf numFmtId="168" fontId="0" fillId="0" borderId="0" xfId="2" applyNumberFormat="1" applyFont="1"/>
    <xf numFmtId="168" fontId="0" fillId="3" borderId="0" xfId="0" applyNumberFormat="1" applyFill="1"/>
    <xf numFmtId="164" fontId="0" fillId="0" borderId="0" xfId="0" applyNumberFormat="1" applyBorder="1"/>
    <xf numFmtId="168" fontId="4" fillId="0" borderId="0" xfId="2" applyNumberFormat="1" applyFont="1" applyBorder="1"/>
    <xf numFmtId="0" fontId="4" fillId="3" borderId="0" xfId="0" applyFont="1" applyFill="1" applyBorder="1"/>
    <xf numFmtId="0" fontId="0" fillId="3" borderId="0" xfId="0" applyFill="1" applyBorder="1"/>
    <xf numFmtId="0" fontId="0" fillId="0" borderId="0" xfId="0" applyBorder="1" applyAlignment="1">
      <alignment wrapText="1"/>
    </xf>
    <xf numFmtId="9" fontId="5" fillId="0" borderId="0" xfId="0" applyNumberFormat="1" applyFont="1" applyBorder="1"/>
    <xf numFmtId="168" fontId="4" fillId="0" borderId="0" xfId="0" applyNumberFormat="1" applyFont="1"/>
    <xf numFmtId="10" fontId="0" fillId="0" borderId="0" xfId="0" applyNumberFormat="1"/>
    <xf numFmtId="165" fontId="0" fillId="5" borderId="0" xfId="0" applyNumberFormat="1" applyFill="1"/>
    <xf numFmtId="0" fontId="0" fillId="5" borderId="0" xfId="0" applyFill="1" applyAlignment="1">
      <alignment horizontal="center" wrapText="1"/>
    </xf>
    <xf numFmtId="165" fontId="4" fillId="5" borderId="0" xfId="0" applyNumberFormat="1" applyFont="1" applyFill="1"/>
    <xf numFmtId="0" fontId="0" fillId="5" borderId="0" xfId="0" applyFill="1"/>
    <xf numFmtId="0" fontId="4" fillId="3" borderId="0" xfId="0" applyFont="1" applyFill="1" applyAlignment="1">
      <alignment horizontal="center"/>
    </xf>
    <xf numFmtId="0" fontId="4" fillId="0" borderId="1" xfId="0" applyFont="1" applyBorder="1" applyAlignment="1">
      <alignment vertical="center" wrapText="1"/>
    </xf>
    <xf numFmtId="0" fontId="0" fillId="0" borderId="1" xfId="0" applyBorder="1" applyAlignment="1">
      <alignment vertical="center" wrapText="1"/>
    </xf>
    <xf numFmtId="3" fontId="0" fillId="0" borderId="1" xfId="0" applyNumberFormat="1" applyBorder="1" applyAlignment="1">
      <alignment vertical="center" wrapText="1"/>
    </xf>
    <xf numFmtId="0" fontId="4" fillId="0" borderId="1" xfId="0" applyFont="1" applyBorder="1" applyAlignment="1">
      <alignment horizontal="center" vertical="center" wrapText="1"/>
    </xf>
    <xf numFmtId="3" fontId="4" fillId="0" borderId="1" xfId="0" applyNumberFormat="1" applyFont="1" applyBorder="1" applyAlignment="1">
      <alignment vertical="center" wrapText="1"/>
    </xf>
    <xf numFmtId="9" fontId="0" fillId="0" borderId="1" xfId="3" applyFont="1" applyBorder="1" applyAlignment="1">
      <alignment vertical="center" wrapText="1"/>
    </xf>
    <xf numFmtId="9" fontId="4" fillId="0" borderId="1" xfId="3" applyFont="1" applyBorder="1" applyAlignment="1">
      <alignment vertical="center" wrapText="1"/>
    </xf>
    <xf numFmtId="165" fontId="0" fillId="0" borderId="0" xfId="0" applyNumberFormat="1" applyBorder="1"/>
    <xf numFmtId="0" fontId="0" fillId="0" borderId="2" xfId="0" applyBorder="1"/>
    <xf numFmtId="165" fontId="0" fillId="0" borderId="2" xfId="0" applyNumberFormat="1" applyBorder="1"/>
    <xf numFmtId="0" fontId="0" fillId="0" borderId="2" xfId="0" applyBorder="1" applyAlignment="1">
      <alignment wrapText="1"/>
    </xf>
    <xf numFmtId="0" fontId="0" fillId="0" borderId="2" xfId="0" applyBorder="1" applyAlignment="1">
      <alignment horizontal="left" wrapText="1"/>
    </xf>
    <xf numFmtId="9" fontId="5" fillId="0" borderId="2" xfId="0" applyNumberFormat="1" applyFont="1" applyBorder="1"/>
    <xf numFmtId="168" fontId="4" fillId="3" borderId="0" xfId="2" applyNumberFormat="1" applyFont="1" applyFill="1"/>
    <xf numFmtId="0" fontId="4" fillId="3" borderId="0" xfId="0" applyFont="1" applyFill="1" applyAlignment="1">
      <alignment wrapText="1"/>
    </xf>
    <xf numFmtId="0" fontId="4" fillId="3" borderId="0" xfId="0" applyFont="1" applyFill="1" applyAlignment="1">
      <alignment horizontal="left" wrapText="1"/>
    </xf>
    <xf numFmtId="9" fontId="7" fillId="3" borderId="0" xfId="0" applyNumberFormat="1" applyFont="1" applyFill="1"/>
    <xf numFmtId="168" fontId="4" fillId="0" borderId="2" xfId="2" applyNumberFormat="1" applyFont="1" applyBorder="1"/>
    <xf numFmtId="170" fontId="8" fillId="0" borderId="0" xfId="0" applyNumberFormat="1" applyFont="1" applyFill="1" applyBorder="1"/>
    <xf numFmtId="0" fontId="8" fillId="0" borderId="3" xfId="4" applyFont="1" applyBorder="1"/>
    <xf numFmtId="1" fontId="10" fillId="0" borderId="0" xfId="5" applyNumberFormat="1" applyFont="1"/>
    <xf numFmtId="170" fontId="8" fillId="0" borderId="4" xfId="0" applyNumberFormat="1" applyFont="1" applyFill="1" applyBorder="1"/>
    <xf numFmtId="3" fontId="11" fillId="0" borderId="0" xfId="6" applyNumberFormat="1" applyFont="1" applyBorder="1"/>
    <xf numFmtId="0" fontId="11" fillId="0" borderId="0" xfId="4" applyFont="1"/>
    <xf numFmtId="3" fontId="11" fillId="0" borderId="0" xfId="5" applyNumberFormat="1" applyFont="1" applyBorder="1"/>
    <xf numFmtId="171" fontId="11" fillId="0" borderId="0" xfId="3" applyNumberFormat="1" applyFont="1"/>
    <xf numFmtId="3" fontId="11" fillId="0" borderId="0" xfId="7" applyNumberFormat="1" applyFont="1" applyBorder="1"/>
    <xf numFmtId="3" fontId="11" fillId="0" borderId="0" xfId="8" applyNumberFormat="1" applyFont="1" applyBorder="1"/>
    <xf numFmtId="3" fontId="11" fillId="0" borderId="0" xfId="9" applyNumberFormat="1" applyFont="1" applyBorder="1"/>
    <xf numFmtId="3" fontId="11" fillId="0" borderId="0" xfId="10" applyNumberFormat="1" applyFont="1" applyBorder="1"/>
    <xf numFmtId="3" fontId="11" fillId="0" borderId="0" xfId="0" applyNumberFormat="1" applyFont="1" applyBorder="1"/>
    <xf numFmtId="3" fontId="11" fillId="0" borderId="0" xfId="0" applyNumberFormat="1" applyFont="1" applyFill="1" applyBorder="1"/>
    <xf numFmtId="171" fontId="11" fillId="0" borderId="0" xfId="4" applyNumberFormat="1" applyFont="1"/>
    <xf numFmtId="0" fontId="11" fillId="0" borderId="0" xfId="4" applyFont="1" applyFill="1"/>
    <xf numFmtId="0" fontId="13" fillId="0" borderId="0" xfId="4" applyFont="1" applyBorder="1"/>
    <xf numFmtId="172" fontId="0" fillId="0" borderId="0" xfId="1" applyNumberFormat="1" applyFont="1"/>
    <xf numFmtId="171" fontId="0" fillId="0" borderId="0" xfId="3" applyNumberFormat="1" applyFont="1"/>
    <xf numFmtId="172" fontId="11" fillId="0" borderId="0" xfId="1" applyNumberFormat="1" applyFont="1"/>
    <xf numFmtId="0" fontId="8" fillId="0" borderId="0" xfId="4" applyFont="1" applyBorder="1" applyAlignment="1">
      <alignment horizontal="center" wrapText="1"/>
    </xf>
    <xf numFmtId="43" fontId="0" fillId="0" borderId="0" xfId="0" applyNumberFormat="1"/>
    <xf numFmtId="171" fontId="11" fillId="0" borderId="0" xfId="3" applyNumberFormat="1" applyFont="1" applyFill="1" applyBorder="1"/>
    <xf numFmtId="0" fontId="4" fillId="0" borderId="6" xfId="0" applyFont="1" applyBorder="1" applyAlignment="1">
      <alignment wrapText="1"/>
    </xf>
    <xf numFmtId="0" fontId="4" fillId="0" borderId="7" xfId="0" applyFont="1" applyBorder="1" applyAlignment="1">
      <alignment horizontal="center" wrapText="1"/>
    </xf>
    <xf numFmtId="0" fontId="0" fillId="0" borderId="7" xfId="0" applyBorder="1"/>
    <xf numFmtId="0" fontId="0" fillId="0" borderId="8" xfId="0" applyBorder="1" applyAlignment="1">
      <alignment wrapText="1"/>
    </xf>
    <xf numFmtId="0" fontId="4" fillId="4" borderId="8" xfId="0" applyFont="1" applyFill="1" applyBorder="1" applyAlignment="1">
      <alignment wrapText="1"/>
    </xf>
    <xf numFmtId="0" fontId="4" fillId="0" borderId="8" xfId="0" applyFont="1" applyBorder="1" applyAlignment="1">
      <alignment wrapText="1"/>
    </xf>
    <xf numFmtId="10" fontId="0" fillId="0" borderId="0" xfId="0" applyNumberFormat="1" applyAlignment="1">
      <alignment wrapText="1"/>
    </xf>
    <xf numFmtId="0" fontId="4" fillId="0" borderId="0" xfId="0" applyFont="1" applyAlignment="1">
      <alignment wrapText="1"/>
    </xf>
    <xf numFmtId="10" fontId="4" fillId="0" borderId="0" xfId="0" applyNumberFormat="1" applyFont="1" applyAlignment="1">
      <alignment wrapText="1"/>
    </xf>
    <xf numFmtId="0" fontId="0" fillId="4" borderId="8" xfId="0" applyFill="1" applyBorder="1" applyAlignment="1">
      <alignment wrapText="1"/>
    </xf>
    <xf numFmtId="0" fontId="0" fillId="4" borderId="0" xfId="0" applyFill="1" applyAlignment="1">
      <alignment wrapText="1"/>
    </xf>
    <xf numFmtId="10" fontId="0" fillId="4" borderId="0" xfId="0" applyNumberFormat="1" applyFill="1" applyAlignment="1">
      <alignment wrapText="1"/>
    </xf>
    <xf numFmtId="0" fontId="0" fillId="4" borderId="0" xfId="0" applyFill="1"/>
    <xf numFmtId="0" fontId="0" fillId="0" borderId="9" xfId="0" applyBorder="1"/>
    <xf numFmtId="172" fontId="1" fillId="0" borderId="0" xfId="1" applyNumberFormat="1" applyFont="1"/>
    <xf numFmtId="43" fontId="1" fillId="0" borderId="0" xfId="1" applyFont="1"/>
    <xf numFmtId="171" fontId="1" fillId="0" borderId="0" xfId="3" applyNumberFormat="1" applyFont="1"/>
    <xf numFmtId="0" fontId="4" fillId="4" borderId="0" xfId="0" applyFont="1" applyFill="1"/>
    <xf numFmtId="0" fontId="0" fillId="0" borderId="0" xfId="0" applyAlignment="1">
      <alignment horizontal="center" wrapText="1"/>
    </xf>
    <xf numFmtId="0" fontId="0" fillId="0" borderId="0" xfId="0" applyAlignment="1">
      <alignment wrapText="1"/>
    </xf>
    <xf numFmtId="171" fontId="4" fillId="0" borderId="0" xfId="3" applyNumberFormat="1" applyFont="1"/>
    <xf numFmtId="0" fontId="0" fillId="0" borderId="0" xfId="0" applyAlignment="1">
      <alignment wrapText="1"/>
    </xf>
    <xf numFmtId="0" fontId="4" fillId="5" borderId="0" xfId="0" applyFont="1" applyFill="1" applyAlignment="1">
      <alignment wrapText="1"/>
    </xf>
    <xf numFmtId="172" fontId="1" fillId="5" borderId="0" xfId="1" applyNumberFormat="1" applyFont="1" applyFill="1"/>
    <xf numFmtId="43" fontId="1" fillId="5" borderId="0" xfId="1" applyFont="1" applyFill="1"/>
    <xf numFmtId="167" fontId="4" fillId="5" borderId="0" xfId="0" applyNumberFormat="1" applyFont="1" applyFill="1"/>
    <xf numFmtId="167" fontId="7" fillId="5" borderId="0" xfId="0" applyNumberFormat="1" applyFont="1" applyFill="1"/>
    <xf numFmtId="0" fontId="4" fillId="0" borderId="0" xfId="0" applyFont="1" applyAlignment="1">
      <alignment horizontal="left"/>
    </xf>
    <xf numFmtId="0" fontId="0" fillId="5" borderId="8" xfId="0" applyFill="1" applyBorder="1" applyAlignment="1">
      <alignment wrapText="1"/>
    </xf>
    <xf numFmtId="0" fontId="0" fillId="5" borderId="0" xfId="0" applyFill="1" applyAlignment="1">
      <alignment wrapText="1"/>
    </xf>
    <xf numFmtId="10" fontId="0" fillId="5" borderId="0" xfId="0" applyNumberFormat="1" applyFill="1" applyAlignment="1">
      <alignment wrapText="1"/>
    </xf>
    <xf numFmtId="9" fontId="0" fillId="5" borderId="0" xfId="3" applyFont="1" applyFill="1" applyAlignment="1">
      <alignment wrapText="1"/>
    </xf>
    <xf numFmtId="9" fontId="0" fillId="5" borderId="0" xfId="0" applyNumberFormat="1" applyFill="1" applyAlignment="1">
      <alignment wrapText="1"/>
    </xf>
    <xf numFmtId="9" fontId="0" fillId="0" borderId="0" xfId="3" applyFont="1" applyAlignment="1">
      <alignment wrapText="1"/>
    </xf>
    <xf numFmtId="0" fontId="4" fillId="5" borderId="0" xfId="0" applyFont="1" applyFill="1" applyAlignment="1"/>
    <xf numFmtId="171" fontId="1" fillId="5" borderId="0" xfId="3" applyNumberFormat="1" applyFont="1" applyFill="1"/>
    <xf numFmtId="0" fontId="4" fillId="0" borderId="0" xfId="0" applyFont="1" applyFill="1" applyAlignment="1">
      <alignment wrapText="1"/>
    </xf>
    <xf numFmtId="43" fontId="1" fillId="0" borderId="0" xfId="1" applyFont="1" applyFill="1"/>
    <xf numFmtId="0" fontId="0" fillId="0" borderId="0" xfId="0" applyFill="1"/>
    <xf numFmtId="0" fontId="0" fillId="0" borderId="0" xfId="0" applyFill="1" applyBorder="1" applyAlignment="1">
      <alignment wrapText="1"/>
    </xf>
    <xf numFmtId="171" fontId="1" fillId="0" borderId="0" xfId="3" applyNumberFormat="1" applyFont="1" applyFill="1"/>
    <xf numFmtId="172" fontId="1" fillId="0" borderId="0" xfId="1" applyNumberFormat="1" applyFont="1" applyFill="1"/>
    <xf numFmtId="0" fontId="0" fillId="0" borderId="0" xfId="0" applyFont="1" applyAlignment="1">
      <alignment wrapText="1"/>
    </xf>
    <xf numFmtId="0" fontId="4" fillId="0" borderId="0" xfId="0" applyFont="1" applyFill="1" applyBorder="1" applyAlignment="1">
      <alignment wrapText="1"/>
    </xf>
    <xf numFmtId="0" fontId="0" fillId="0" borderId="0" xfId="0" applyFont="1" applyFill="1"/>
    <xf numFmtId="172" fontId="4" fillId="0" borderId="0" xfId="1" applyNumberFormat="1" applyFont="1" applyFill="1"/>
    <xf numFmtId="0" fontId="4" fillId="0" borderId="0" xfId="0" applyFont="1" applyFill="1"/>
    <xf numFmtId="0" fontId="4" fillId="5" borderId="0" xfId="0" applyFont="1" applyFill="1"/>
    <xf numFmtId="0" fontId="4" fillId="5" borderId="0" xfId="0" applyFont="1" applyFill="1" applyAlignment="1">
      <alignment horizontal="center"/>
    </xf>
    <xf numFmtId="167" fontId="0" fillId="0" borderId="0" xfId="0" applyNumberFormat="1" applyFont="1" applyFill="1"/>
    <xf numFmtId="167" fontId="5" fillId="0" borderId="0" xfId="0" applyNumberFormat="1" applyFont="1" applyFill="1"/>
    <xf numFmtId="167" fontId="4" fillId="0" borderId="0" xfId="0" applyNumberFormat="1" applyFont="1" applyFill="1"/>
    <xf numFmtId="171" fontId="4" fillId="4" borderId="0" xfId="3" applyNumberFormat="1" applyFont="1" applyFill="1"/>
    <xf numFmtId="0" fontId="0" fillId="0" borderId="0" xfId="0" applyAlignment="1">
      <alignment horizontal="left" wrapText="1"/>
    </xf>
    <xf numFmtId="0" fontId="0" fillId="0" borderId="0" xfId="0" applyAlignment="1">
      <alignment wrapText="1"/>
    </xf>
    <xf numFmtId="0" fontId="6" fillId="0" borderId="0" xfId="0" applyFont="1" applyBorder="1" applyAlignment="1">
      <alignment horizontal="center" wrapText="1"/>
    </xf>
    <xf numFmtId="3" fontId="0" fillId="0" borderId="0" xfId="0" applyNumberFormat="1" applyAlignment="1"/>
    <xf numFmtId="0" fontId="6" fillId="0" borderId="0" xfId="0" applyFont="1"/>
    <xf numFmtId="172" fontId="5" fillId="0" borderId="0" xfId="1" applyNumberFormat="1" applyFont="1" applyFill="1"/>
    <xf numFmtId="169" fontId="4" fillId="0" borderId="0" xfId="0" applyNumberFormat="1" applyFont="1"/>
    <xf numFmtId="167" fontId="16" fillId="0" borderId="0" xfId="0" applyNumberFormat="1" applyFont="1" applyFill="1"/>
    <xf numFmtId="168" fontId="2" fillId="2" borderId="0" xfId="0" applyNumberFormat="1" applyFont="1" applyFill="1"/>
    <xf numFmtId="0" fontId="15" fillId="2" borderId="0" xfId="0" applyFont="1" applyFill="1"/>
    <xf numFmtId="0" fontId="4" fillId="4" borderId="0" xfId="0" applyFont="1" applyFill="1" applyAlignment="1">
      <alignment wrapText="1"/>
    </xf>
    <xf numFmtId="172" fontId="1" fillId="4" borderId="0" xfId="1" applyNumberFormat="1" applyFont="1" applyFill="1"/>
    <xf numFmtId="10" fontId="1" fillId="4" borderId="0" xfId="3" applyNumberFormat="1" applyFont="1" applyFill="1"/>
    <xf numFmtId="0" fontId="0" fillId="0" borderId="0" xfId="0" applyFill="1" applyBorder="1" applyAlignment="1">
      <alignment horizontal="left" wrapText="1"/>
    </xf>
    <xf numFmtId="0" fontId="0" fillId="0" borderId="0" xfId="0" applyBorder="1" applyAlignment="1">
      <alignment horizontal="left" wrapText="1"/>
    </xf>
    <xf numFmtId="0" fontId="0" fillId="0" borderId="0" xfId="0" applyAlignment="1">
      <alignment horizontal="center" wrapText="1"/>
    </xf>
    <xf numFmtId="0" fontId="0" fillId="5" borderId="0" xfId="0" applyFill="1" applyAlignment="1">
      <alignment horizontal="center"/>
    </xf>
    <xf numFmtId="0" fontId="0" fillId="0" borderId="0" xfId="0" applyAlignment="1">
      <alignment wrapText="1"/>
    </xf>
    <xf numFmtId="0" fontId="14" fillId="0" borderId="0" xfId="0" applyFont="1" applyAlignment="1">
      <alignment horizontal="left" vertical="center" wrapText="1"/>
    </xf>
    <xf numFmtId="0" fontId="14" fillId="0" borderId="5" xfId="0" applyFont="1" applyBorder="1" applyAlignment="1">
      <alignment horizontal="left" vertical="center" wrapText="1"/>
    </xf>
    <xf numFmtId="0" fontId="0" fillId="0" borderId="9" xfId="0" applyBorder="1" applyAlignment="1">
      <alignment wrapText="1"/>
    </xf>
    <xf numFmtId="0" fontId="0" fillId="0" borderId="5" xfId="0" applyBorder="1" applyAlignment="1">
      <alignment horizontal="left" vertical="center" wrapText="1"/>
    </xf>
  </cellXfs>
  <cellStyles count="11">
    <cellStyle name="Comma" xfId="1" builtinId="3"/>
    <cellStyle name="Comma_Public1991" xfId="5"/>
    <cellStyle name="Comma_Public1992" xfId="6"/>
    <cellStyle name="Comma_Public1993" xfId="7"/>
    <cellStyle name="Comma_Public1994" xfId="8"/>
    <cellStyle name="Currency" xfId="2" builtinId="4"/>
    <cellStyle name="Normal" xfId="0" builtinId="0"/>
    <cellStyle name="Normal_Public1991" xfId="4"/>
    <cellStyle name="Normal_Public1995" xfId="9"/>
    <cellStyle name="Normal_Public1996" xfId="1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Statewide!$A$4</c:f>
              <c:strCache>
                <c:ptCount val="1"/>
                <c:pt idx="0">
                  <c:v>Federal</c:v>
                </c:pt>
              </c:strCache>
            </c:strRef>
          </c:tx>
          <c:invertIfNegative val="0"/>
          <c:cat>
            <c:strRef>
              <c:f>Statewide!$B$3:$G$3</c:f>
              <c:strCache>
                <c:ptCount val="6"/>
                <c:pt idx="0">
                  <c:v>2014-15*</c:v>
                </c:pt>
                <c:pt idx="1">
                  <c:v>2016-20</c:v>
                </c:pt>
                <c:pt idx="2">
                  <c:v>2021-25</c:v>
                </c:pt>
                <c:pt idx="3">
                  <c:v>2026-30</c:v>
                </c:pt>
                <c:pt idx="4">
                  <c:v>2031-35</c:v>
                </c:pt>
                <c:pt idx="5">
                  <c:v>2036-40</c:v>
                </c:pt>
              </c:strCache>
            </c:strRef>
          </c:cat>
          <c:val>
            <c:numRef>
              <c:f>Statewide!$B$4:$G$4</c:f>
              <c:numCache>
                <c:formatCode>#,##0</c:formatCode>
                <c:ptCount val="6"/>
                <c:pt idx="0">
                  <c:v>5113</c:v>
                </c:pt>
                <c:pt idx="1">
                  <c:v>9542</c:v>
                </c:pt>
                <c:pt idx="2">
                  <c:v>9687</c:v>
                </c:pt>
                <c:pt idx="3">
                  <c:v>9719</c:v>
                </c:pt>
                <c:pt idx="4">
                  <c:v>9664</c:v>
                </c:pt>
                <c:pt idx="5">
                  <c:v>9664</c:v>
                </c:pt>
              </c:numCache>
            </c:numRef>
          </c:val>
        </c:ser>
        <c:ser>
          <c:idx val="1"/>
          <c:order val="1"/>
          <c:tx>
            <c:strRef>
              <c:f>Statewide!$A$5</c:f>
              <c:strCache>
                <c:ptCount val="1"/>
                <c:pt idx="0">
                  <c:v>State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Statewide!$B$3:$G$3</c:f>
              <c:strCache>
                <c:ptCount val="6"/>
                <c:pt idx="0">
                  <c:v>2014-15*</c:v>
                </c:pt>
                <c:pt idx="1">
                  <c:v>2016-20</c:v>
                </c:pt>
                <c:pt idx="2">
                  <c:v>2021-25</c:v>
                </c:pt>
                <c:pt idx="3">
                  <c:v>2026-30</c:v>
                </c:pt>
                <c:pt idx="4">
                  <c:v>2031-35</c:v>
                </c:pt>
                <c:pt idx="5">
                  <c:v>2036-40</c:v>
                </c:pt>
              </c:strCache>
            </c:strRef>
          </c:cat>
          <c:val>
            <c:numRef>
              <c:f>Statewide!$B$5:$G$5</c:f>
              <c:numCache>
                <c:formatCode>#,##0</c:formatCode>
                <c:ptCount val="6"/>
                <c:pt idx="0">
                  <c:v>9711</c:v>
                </c:pt>
                <c:pt idx="1">
                  <c:v>22243</c:v>
                </c:pt>
                <c:pt idx="2">
                  <c:v>25084</c:v>
                </c:pt>
                <c:pt idx="3">
                  <c:v>27616</c:v>
                </c:pt>
                <c:pt idx="4">
                  <c:v>29658</c:v>
                </c:pt>
                <c:pt idx="5">
                  <c:v>31119</c:v>
                </c:pt>
              </c:numCache>
            </c:numRef>
          </c:val>
        </c:ser>
        <c:ser>
          <c:idx val="2"/>
          <c:order val="2"/>
          <c:tx>
            <c:strRef>
              <c:f>Statewide!$A$6</c:f>
              <c:strCache>
                <c:ptCount val="1"/>
                <c:pt idx="0">
                  <c:v>Turnpike</c:v>
                </c:pt>
              </c:strCache>
            </c:strRef>
          </c:tx>
          <c:invertIfNegative val="0"/>
          <c:cat>
            <c:strRef>
              <c:f>Statewide!$B$3:$G$3</c:f>
              <c:strCache>
                <c:ptCount val="6"/>
                <c:pt idx="0">
                  <c:v>2014-15*</c:v>
                </c:pt>
                <c:pt idx="1">
                  <c:v>2016-20</c:v>
                </c:pt>
                <c:pt idx="2">
                  <c:v>2021-25</c:v>
                </c:pt>
                <c:pt idx="3">
                  <c:v>2026-30</c:v>
                </c:pt>
                <c:pt idx="4">
                  <c:v>2031-35</c:v>
                </c:pt>
                <c:pt idx="5">
                  <c:v>2036-40</c:v>
                </c:pt>
              </c:strCache>
            </c:strRef>
          </c:cat>
          <c:val>
            <c:numRef>
              <c:f>Statewide!$B$6:$G$6</c:f>
              <c:numCache>
                <c:formatCode>#,##0</c:formatCode>
                <c:ptCount val="6"/>
                <c:pt idx="0">
                  <c:v>1680</c:v>
                </c:pt>
                <c:pt idx="1">
                  <c:v>3044</c:v>
                </c:pt>
                <c:pt idx="2">
                  <c:v>2745</c:v>
                </c:pt>
                <c:pt idx="3">
                  <c:v>2931</c:v>
                </c:pt>
                <c:pt idx="4">
                  <c:v>3200</c:v>
                </c:pt>
                <c:pt idx="5">
                  <c:v>3410</c:v>
                </c:pt>
              </c:numCache>
            </c:numRef>
          </c:val>
        </c:ser>
        <c:dLbls>
          <c:showLegendKey val="0"/>
          <c:showVal val="0"/>
          <c:showCatName val="0"/>
          <c:showSerName val="0"/>
          <c:showPercent val="0"/>
          <c:showBubbleSize val="0"/>
        </c:dLbls>
        <c:gapWidth val="150"/>
        <c:overlap val="100"/>
        <c:axId val="425949032"/>
        <c:axId val="425954912"/>
      </c:barChart>
      <c:catAx>
        <c:axId val="425949032"/>
        <c:scaling>
          <c:orientation val="minMax"/>
        </c:scaling>
        <c:delete val="0"/>
        <c:axPos val="b"/>
        <c:numFmt formatCode="General" sourceLinked="0"/>
        <c:majorTickMark val="out"/>
        <c:minorTickMark val="none"/>
        <c:tickLblPos val="nextTo"/>
        <c:crossAx val="425954912"/>
        <c:crosses val="autoZero"/>
        <c:auto val="1"/>
        <c:lblAlgn val="ctr"/>
        <c:lblOffset val="100"/>
        <c:noMultiLvlLbl val="0"/>
      </c:catAx>
      <c:valAx>
        <c:axId val="425954912"/>
        <c:scaling>
          <c:orientation val="minMax"/>
        </c:scaling>
        <c:delete val="0"/>
        <c:axPos val="l"/>
        <c:majorGridlines/>
        <c:numFmt formatCode="#,##0" sourceLinked="1"/>
        <c:majorTickMark val="out"/>
        <c:minorTickMark val="none"/>
        <c:tickLblPos val="nextTo"/>
        <c:crossAx val="42594903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0593285214348207"/>
          <c:y val="4.6624762291485281E-2"/>
          <c:w val="0.84294016683029127"/>
          <c:h val="0.72638662886918037"/>
        </c:manualLayout>
      </c:layout>
      <c:barChart>
        <c:barDir val="col"/>
        <c:grouping val="stacked"/>
        <c:varyColors val="0"/>
        <c:ser>
          <c:idx val="0"/>
          <c:order val="0"/>
          <c:tx>
            <c:strRef>
              <c:f>Statewide!$A$10</c:f>
              <c:strCache>
                <c:ptCount val="1"/>
                <c:pt idx="0">
                  <c:v>Federal</c:v>
                </c:pt>
              </c:strCache>
            </c:strRef>
          </c:tx>
          <c:invertIfNegative val="0"/>
          <c:dLbls>
            <c:spPr>
              <a:noFill/>
              <a:ln>
                <a:noFill/>
              </a:ln>
              <a:effectLst/>
            </c:spPr>
            <c:txPr>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Statewide!$B$9:$G$9</c:f>
              <c:strCache>
                <c:ptCount val="6"/>
                <c:pt idx="0">
                  <c:v>2014-15*</c:v>
                </c:pt>
                <c:pt idx="1">
                  <c:v>2016-20</c:v>
                </c:pt>
                <c:pt idx="2">
                  <c:v>2021-25</c:v>
                </c:pt>
                <c:pt idx="3">
                  <c:v>2026-30</c:v>
                </c:pt>
                <c:pt idx="4">
                  <c:v>2031-35</c:v>
                </c:pt>
                <c:pt idx="5">
                  <c:v>2036-40</c:v>
                </c:pt>
              </c:strCache>
            </c:strRef>
          </c:cat>
          <c:val>
            <c:numRef>
              <c:f>Statewide!$B$10:$G$10</c:f>
              <c:numCache>
                <c:formatCode>0%</c:formatCode>
                <c:ptCount val="6"/>
                <c:pt idx="0">
                  <c:v>0.30980368395540475</c:v>
                </c:pt>
                <c:pt idx="1">
                  <c:v>0.27396709638519623</c:v>
                </c:pt>
                <c:pt idx="2">
                  <c:v>0.25820983047233181</c:v>
                </c:pt>
                <c:pt idx="3">
                  <c:v>0.24136989022997068</c:v>
                </c:pt>
                <c:pt idx="4">
                  <c:v>0.22727058934198768</c:v>
                </c:pt>
                <c:pt idx="5">
                  <c:v>0.2186771660670242</c:v>
                </c:pt>
              </c:numCache>
            </c:numRef>
          </c:val>
        </c:ser>
        <c:ser>
          <c:idx val="1"/>
          <c:order val="1"/>
          <c:tx>
            <c:strRef>
              <c:f>Statewide!$A$11</c:f>
              <c:strCache>
                <c:ptCount val="1"/>
                <c:pt idx="0">
                  <c:v>State</c:v>
                </c:pt>
              </c:strCache>
            </c:strRef>
          </c:tx>
          <c:invertIfNegative val="0"/>
          <c:dLbls>
            <c:spPr>
              <a:noFill/>
              <a:ln>
                <a:noFill/>
              </a:ln>
              <a:effectLst/>
            </c:spPr>
            <c:txPr>
              <a:bodyPr/>
              <a:lstStyle/>
              <a:p>
                <a:pP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Statewide!$B$9:$G$9</c:f>
              <c:strCache>
                <c:ptCount val="6"/>
                <c:pt idx="0">
                  <c:v>2014-15*</c:v>
                </c:pt>
                <c:pt idx="1">
                  <c:v>2016-20</c:v>
                </c:pt>
                <c:pt idx="2">
                  <c:v>2021-25</c:v>
                </c:pt>
                <c:pt idx="3">
                  <c:v>2026-30</c:v>
                </c:pt>
                <c:pt idx="4">
                  <c:v>2031-35</c:v>
                </c:pt>
                <c:pt idx="5">
                  <c:v>2036-40</c:v>
                </c:pt>
              </c:strCache>
            </c:strRef>
          </c:cat>
          <c:val>
            <c:numRef>
              <c:f>Statewide!$B$11:$G$11</c:f>
              <c:numCache>
                <c:formatCode>0%</c:formatCode>
                <c:ptCount val="6"/>
                <c:pt idx="0">
                  <c:v>0.58840281143965101</c:v>
                </c:pt>
                <c:pt idx="1">
                  <c:v>0.63863447127393835</c:v>
                </c:pt>
                <c:pt idx="2">
                  <c:v>0.66862138820769801</c:v>
                </c:pt>
                <c:pt idx="3">
                  <c:v>0.68583916952267421</c:v>
                </c:pt>
                <c:pt idx="4">
                  <c:v>0.69747424862424157</c:v>
                </c:pt>
                <c:pt idx="5">
                  <c:v>0.70416129251238879</c:v>
                </c:pt>
              </c:numCache>
            </c:numRef>
          </c:val>
        </c:ser>
        <c:ser>
          <c:idx val="2"/>
          <c:order val="2"/>
          <c:tx>
            <c:strRef>
              <c:f>Statewide!$A$12</c:f>
              <c:strCache>
                <c:ptCount val="1"/>
                <c:pt idx="0">
                  <c:v>Turnpike</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Statewide!$B$9:$G$9</c:f>
              <c:strCache>
                <c:ptCount val="6"/>
                <c:pt idx="0">
                  <c:v>2014-15*</c:v>
                </c:pt>
                <c:pt idx="1">
                  <c:v>2016-20</c:v>
                </c:pt>
                <c:pt idx="2">
                  <c:v>2021-25</c:v>
                </c:pt>
                <c:pt idx="3">
                  <c:v>2026-30</c:v>
                </c:pt>
                <c:pt idx="4">
                  <c:v>2031-35</c:v>
                </c:pt>
                <c:pt idx="5">
                  <c:v>2036-40</c:v>
                </c:pt>
              </c:strCache>
            </c:strRef>
          </c:cat>
          <c:val>
            <c:numRef>
              <c:f>Statewide!$B$12:$G$12</c:f>
              <c:numCache>
                <c:formatCode>0%</c:formatCode>
                <c:ptCount val="6"/>
                <c:pt idx="0">
                  <c:v>0.10179350460494425</c:v>
                </c:pt>
                <c:pt idx="1">
                  <c:v>8.7398432340865376E-2</c:v>
                </c:pt>
                <c:pt idx="2">
                  <c:v>7.316878131997015E-2</c:v>
                </c:pt>
                <c:pt idx="3">
                  <c:v>7.2790940247355093E-2</c:v>
                </c:pt>
                <c:pt idx="4">
                  <c:v>7.5255162033770751E-2</c:v>
                </c:pt>
                <c:pt idx="5">
                  <c:v>7.7161541420586968E-2</c:v>
                </c:pt>
              </c:numCache>
            </c:numRef>
          </c:val>
        </c:ser>
        <c:dLbls>
          <c:showLegendKey val="0"/>
          <c:showVal val="0"/>
          <c:showCatName val="0"/>
          <c:showSerName val="0"/>
          <c:showPercent val="0"/>
          <c:showBubbleSize val="0"/>
        </c:dLbls>
        <c:gapWidth val="48"/>
        <c:overlap val="100"/>
        <c:axId val="425951384"/>
        <c:axId val="425945896"/>
      </c:barChart>
      <c:catAx>
        <c:axId val="425951384"/>
        <c:scaling>
          <c:orientation val="minMax"/>
        </c:scaling>
        <c:delete val="0"/>
        <c:axPos val="b"/>
        <c:numFmt formatCode="General" sourceLinked="0"/>
        <c:majorTickMark val="out"/>
        <c:minorTickMark val="none"/>
        <c:tickLblPos val="nextTo"/>
        <c:crossAx val="425945896"/>
        <c:crosses val="autoZero"/>
        <c:auto val="1"/>
        <c:lblAlgn val="ctr"/>
        <c:lblOffset val="100"/>
        <c:noMultiLvlLbl val="0"/>
      </c:catAx>
      <c:valAx>
        <c:axId val="425945896"/>
        <c:scaling>
          <c:orientation val="minMax"/>
          <c:max val="1"/>
        </c:scaling>
        <c:delete val="0"/>
        <c:axPos val="l"/>
        <c:majorGridlines/>
        <c:numFmt formatCode="0%" sourceLinked="1"/>
        <c:majorTickMark val="out"/>
        <c:minorTickMark val="none"/>
        <c:tickLblPos val="nextTo"/>
        <c:crossAx val="425951384"/>
        <c:crosses val="autoZero"/>
        <c:crossBetween val="between"/>
      </c:valAx>
      <c:spPr>
        <a:ln>
          <a:noFill/>
        </a:ln>
      </c:spPr>
    </c:plotArea>
    <c:legend>
      <c:legendPos val="r"/>
      <c:layout>
        <c:manualLayout>
          <c:xMode val="edge"/>
          <c:yMode val="edge"/>
          <c:x val="0.11409776902887138"/>
          <c:y val="0.89422843230263205"/>
          <c:w val="0.67756889763779526"/>
          <c:h val="5.9837238900901292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190500</xdr:colOff>
      <xdr:row>12</xdr:row>
      <xdr:rowOff>52387</xdr:rowOff>
    </xdr:from>
    <xdr:to>
      <xdr:col>17</xdr:col>
      <xdr:colOff>495300</xdr:colOff>
      <xdr:row>26</xdr:row>
      <xdr:rowOff>128587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361950</xdr:colOff>
      <xdr:row>14</xdr:row>
      <xdr:rowOff>161925</xdr:rowOff>
    </xdr:from>
    <xdr:to>
      <xdr:col>7</xdr:col>
      <xdr:colOff>447675</xdr:colOff>
      <xdr:row>30</xdr:row>
      <xdr:rowOff>138112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47"/>
  <sheetViews>
    <sheetView tabSelected="1" workbookViewId="0">
      <selection activeCell="B24" sqref="B24"/>
    </sheetView>
  </sheetViews>
  <sheetFormatPr defaultRowHeight="15"/>
  <cols>
    <col min="1" max="1" width="71.42578125" customWidth="1"/>
    <col min="2" max="2" width="12.42578125" customWidth="1"/>
    <col min="3" max="6" width="15.28515625" customWidth="1"/>
    <col min="7" max="7" width="24" customWidth="1"/>
    <col min="8" max="8" width="48.140625" customWidth="1"/>
    <col min="10" max="10" width="52" customWidth="1"/>
  </cols>
  <sheetData>
    <row r="1" spans="1:10">
      <c r="A1" s="1" t="s">
        <v>0</v>
      </c>
      <c r="G1" s="1"/>
      <c r="J1" s="1"/>
    </row>
    <row r="2" spans="1:10">
      <c r="A2" s="1" t="s">
        <v>1</v>
      </c>
      <c r="G2" s="1"/>
      <c r="J2" s="1"/>
    </row>
    <row r="3" spans="1:10">
      <c r="A3" s="1" t="s">
        <v>20</v>
      </c>
      <c r="G3" s="1"/>
      <c r="J3" s="1"/>
    </row>
    <row r="4" spans="1:10">
      <c r="B4" s="4" t="s">
        <v>4</v>
      </c>
      <c r="C4" s="4" t="s">
        <v>5</v>
      </c>
      <c r="D4" s="4" t="s">
        <v>6</v>
      </c>
      <c r="E4" s="4" t="s">
        <v>7</v>
      </c>
      <c r="F4" s="4" t="s">
        <v>18</v>
      </c>
      <c r="G4" s="4" t="s">
        <v>22</v>
      </c>
      <c r="H4" s="4" t="s">
        <v>307</v>
      </c>
      <c r="J4" s="4" t="s">
        <v>25</v>
      </c>
    </row>
    <row r="5" spans="1:10" s="2" customFormat="1">
      <c r="A5" s="2" t="s">
        <v>17</v>
      </c>
    </row>
    <row r="6" spans="1:10" s="5" customFormat="1">
      <c r="A6" s="6" t="s">
        <v>2</v>
      </c>
      <c r="G6" s="6"/>
      <c r="J6" s="6"/>
    </row>
    <row r="7" spans="1:10">
      <c r="A7" t="s">
        <v>8</v>
      </c>
      <c r="B7" s="3" t="s">
        <v>19</v>
      </c>
      <c r="C7" s="3" t="s">
        <v>19</v>
      </c>
      <c r="D7" s="3" t="s">
        <v>19</v>
      </c>
      <c r="E7" s="3" t="s">
        <v>19</v>
      </c>
      <c r="F7" s="4" t="s">
        <v>19</v>
      </c>
    </row>
    <row r="8" spans="1:10">
      <c r="A8" t="s">
        <v>23</v>
      </c>
      <c r="B8" s="7">
        <v>140.6</v>
      </c>
      <c r="C8" s="7">
        <v>314.10000000000002</v>
      </c>
      <c r="D8" s="7">
        <v>296.89999999999998</v>
      </c>
      <c r="E8" s="7">
        <v>649.6</v>
      </c>
      <c r="F8" s="26">
        <f>SUM(B8:E8)</f>
        <v>1401.2</v>
      </c>
      <c r="G8" s="11" t="s">
        <v>161</v>
      </c>
      <c r="H8" s="11"/>
      <c r="J8" s="150" t="s">
        <v>116</v>
      </c>
    </row>
    <row r="9" spans="1:10">
      <c r="A9" t="s">
        <v>24</v>
      </c>
      <c r="B9" s="7">
        <f>0.22*B8</f>
        <v>30.931999999999999</v>
      </c>
      <c r="C9" s="7">
        <f t="shared" ref="C9:E9" si="0">0.22*C8</f>
        <v>69.102000000000004</v>
      </c>
      <c r="D9" s="7">
        <f t="shared" si="0"/>
        <v>65.317999999999998</v>
      </c>
      <c r="E9" s="7">
        <f t="shared" si="0"/>
        <v>142.91200000000001</v>
      </c>
      <c r="F9" s="26">
        <f>SUM(B9:E9)</f>
        <v>308.26400000000001</v>
      </c>
      <c r="G9" s="11" t="s">
        <v>161</v>
      </c>
      <c r="H9" s="11"/>
      <c r="J9" s="150"/>
    </row>
    <row r="10" spans="1:10" s="23" customFormat="1" ht="47.25" customHeight="1">
      <c r="A10" s="23" t="s">
        <v>3</v>
      </c>
      <c r="B10" s="30">
        <v>68.5</v>
      </c>
      <c r="C10" s="30">
        <v>176.5</v>
      </c>
      <c r="D10" s="30">
        <v>185.6</v>
      </c>
      <c r="E10" s="30">
        <v>389.1</v>
      </c>
      <c r="F10" s="31">
        <f>SUM(B10:E10)</f>
        <v>819.7</v>
      </c>
      <c r="G10" s="11" t="s">
        <v>161</v>
      </c>
      <c r="H10" s="11"/>
      <c r="J10" s="150"/>
    </row>
    <row r="11" spans="1:10" s="33" customFormat="1">
      <c r="A11" s="32" t="s">
        <v>9</v>
      </c>
      <c r="F11" s="32"/>
      <c r="G11" s="32"/>
      <c r="J11" s="32"/>
    </row>
    <row r="12" spans="1:10" s="23" customFormat="1">
      <c r="A12" s="23" t="s">
        <v>10</v>
      </c>
      <c r="B12" s="23">
        <v>47.3</v>
      </c>
      <c r="C12" s="23">
        <v>118.3</v>
      </c>
      <c r="D12" s="23">
        <v>118.3</v>
      </c>
      <c r="E12" s="23">
        <v>236.6</v>
      </c>
      <c r="F12" s="26">
        <f>SUM(B12:E12)</f>
        <v>520.5</v>
      </c>
      <c r="G12" s="11" t="s">
        <v>161</v>
      </c>
      <c r="H12" s="11"/>
      <c r="J12" s="34" t="s">
        <v>28</v>
      </c>
    </row>
    <row r="13" spans="1:10" s="33" customFormat="1">
      <c r="A13" s="32" t="s">
        <v>11</v>
      </c>
      <c r="F13" s="32"/>
      <c r="G13" s="32"/>
      <c r="J13" s="32"/>
    </row>
    <row r="14" spans="1:10" s="23" customFormat="1" ht="21.75" customHeight="1">
      <c r="A14" s="23" t="s">
        <v>12</v>
      </c>
      <c r="B14" s="23">
        <v>4.7</v>
      </c>
      <c r="C14" s="23">
        <v>11.6</v>
      </c>
      <c r="D14" s="23">
        <v>11.6</v>
      </c>
      <c r="E14" s="23">
        <v>23.2</v>
      </c>
      <c r="F14" s="26">
        <f>SUM(B14:E14)</f>
        <v>51.099999999999994</v>
      </c>
      <c r="G14" s="11" t="s">
        <v>161</v>
      </c>
      <c r="H14" s="11"/>
      <c r="J14" s="151" t="s">
        <v>137</v>
      </c>
    </row>
    <row r="15" spans="1:10" s="23" customFormat="1" ht="35.25" customHeight="1">
      <c r="A15" s="23" t="s">
        <v>13</v>
      </c>
      <c r="B15" s="50">
        <f>9.3*I15</f>
        <v>4.6500000000000004</v>
      </c>
      <c r="C15" s="50">
        <f>23.3*I15</f>
        <v>11.65</v>
      </c>
      <c r="D15" s="50">
        <f>23.3*I15</f>
        <v>11.65</v>
      </c>
      <c r="E15" s="50">
        <f>46.6*I15</f>
        <v>23.3</v>
      </c>
      <c r="F15" s="26">
        <f>SUM(B15:E15)</f>
        <v>51.25</v>
      </c>
      <c r="G15" s="11" t="s">
        <v>161</v>
      </c>
      <c r="H15" s="34" t="s">
        <v>138</v>
      </c>
      <c r="I15" s="35">
        <v>0.5</v>
      </c>
      <c r="J15" s="151"/>
    </row>
    <row r="16" spans="1:10" s="33" customFormat="1">
      <c r="A16" s="32" t="s">
        <v>14</v>
      </c>
      <c r="F16" s="32"/>
      <c r="G16" s="32"/>
      <c r="J16" s="32"/>
    </row>
    <row r="17" spans="1:10" s="23" customFormat="1" ht="60.75" customHeight="1">
      <c r="A17" s="23" t="s">
        <v>83</v>
      </c>
      <c r="B17" s="23">
        <f>1.2*$I$17</f>
        <v>0.6</v>
      </c>
      <c r="C17" s="23">
        <f>9.1*I17</f>
        <v>4.55</v>
      </c>
      <c r="D17" s="23">
        <f>9.1*I17</f>
        <v>4.55</v>
      </c>
      <c r="E17" s="23">
        <f>18.2*I17</f>
        <v>9.1</v>
      </c>
      <c r="F17" s="26">
        <f>SUM(B17:E17)</f>
        <v>18.799999999999997</v>
      </c>
      <c r="G17" s="139" t="s">
        <v>162</v>
      </c>
      <c r="H17" s="34" t="s">
        <v>139</v>
      </c>
      <c r="I17" s="35">
        <v>0.5</v>
      </c>
      <c r="J17" s="34" t="s">
        <v>86</v>
      </c>
    </row>
    <row r="18" spans="1:10" s="5" customFormat="1">
      <c r="A18" s="6" t="s">
        <v>15</v>
      </c>
      <c r="G18" s="6"/>
      <c r="J18" s="6"/>
    </row>
    <row r="19" spans="1:10" s="51" customFormat="1" ht="95.25" customHeight="1" thickBot="1">
      <c r="A19" s="51" t="s">
        <v>141</v>
      </c>
      <c r="B19" s="52">
        <f>63*I19</f>
        <v>6.3000000000000007</v>
      </c>
      <c r="C19" s="52">
        <f>174*I19</f>
        <v>17.400000000000002</v>
      </c>
      <c r="D19" s="52">
        <f>174*I19</f>
        <v>17.400000000000002</v>
      </c>
      <c r="E19" s="52">
        <f>349*I19</f>
        <v>34.9</v>
      </c>
      <c r="F19" s="60">
        <f>SUM(B19:E19)</f>
        <v>76</v>
      </c>
      <c r="G19" s="53" t="s">
        <v>140</v>
      </c>
      <c r="H19" s="54" t="s">
        <v>163</v>
      </c>
      <c r="I19" s="55">
        <v>0.1</v>
      </c>
      <c r="J19" s="53" t="s">
        <v>85</v>
      </c>
    </row>
    <row r="20" spans="1:10" s="6" customFormat="1" ht="27.75" customHeight="1" thickTop="1">
      <c r="A20" s="6" t="s">
        <v>314</v>
      </c>
      <c r="B20" s="56">
        <f>SUM(B8:B19)</f>
        <v>303.58199999999999</v>
      </c>
      <c r="C20" s="56">
        <f t="shared" ref="C20:F20" si="1">SUM(C8:C19)</f>
        <v>723.20199999999988</v>
      </c>
      <c r="D20" s="56">
        <f t="shared" si="1"/>
        <v>711.31799999999987</v>
      </c>
      <c r="E20" s="56">
        <f t="shared" si="1"/>
        <v>1508.712</v>
      </c>
      <c r="F20" s="56">
        <f t="shared" si="1"/>
        <v>3246.8139999999999</v>
      </c>
      <c r="G20" s="57"/>
      <c r="H20" s="58"/>
      <c r="I20" s="59"/>
      <c r="J20" s="57"/>
    </row>
    <row r="21" spans="1:10" s="2" customFormat="1">
      <c r="A21" s="2" t="s">
        <v>92</v>
      </c>
    </row>
    <row r="22" spans="1:10" s="5" customFormat="1">
      <c r="A22" s="6" t="s">
        <v>21</v>
      </c>
    </row>
    <row r="23" spans="1:10" ht="30.75" customHeight="1">
      <c r="A23" t="s">
        <v>26</v>
      </c>
      <c r="B23" s="28">
        <f>'Fuel Taxes'!B86</f>
        <v>29.242762138587295</v>
      </c>
      <c r="C23" s="28">
        <f>'Fuel Taxes'!C86</f>
        <v>72.121554684691233</v>
      </c>
      <c r="D23" s="28">
        <f>'Fuel Taxes'!D86</f>
        <v>69.390125512008552</v>
      </c>
      <c r="E23" s="28">
        <f>'Fuel Taxes'!E86</f>
        <v>137.7888168909497</v>
      </c>
      <c r="F23" s="26">
        <f>'Fuel Taxes'!F86</f>
        <v>308.54325922623678</v>
      </c>
      <c r="G23" t="s">
        <v>30</v>
      </c>
      <c r="H23" s="14"/>
      <c r="I23" s="35"/>
      <c r="J23" s="11" t="s">
        <v>87</v>
      </c>
    </row>
    <row r="24" spans="1:10" ht="29.25" customHeight="1">
      <c r="A24" t="s">
        <v>27</v>
      </c>
      <c r="B24" s="28">
        <f>'Fuel Taxes'!B87</f>
        <v>12.789665797264144</v>
      </c>
      <c r="C24" s="28">
        <f>'Fuel Taxes'!C87</f>
        <v>31.543209797515811</v>
      </c>
      <c r="D24" s="28">
        <f>'Fuel Taxes'!D87</f>
        <v>30.348587138344634</v>
      </c>
      <c r="E24" s="28">
        <f>'Fuel Taxes'!E87</f>
        <v>60.26355890335897</v>
      </c>
      <c r="F24" s="26">
        <f>'Fuel Taxes'!F87</f>
        <v>134.94502163648355</v>
      </c>
      <c r="G24" t="s">
        <v>30</v>
      </c>
      <c r="H24" s="14"/>
      <c r="J24" s="11" t="s">
        <v>135</v>
      </c>
    </row>
    <row r="25" spans="1:10">
      <c r="A25" t="s">
        <v>29</v>
      </c>
      <c r="B25" s="28">
        <f>'Fuel Taxes'!B88</f>
        <v>25.357893684192778</v>
      </c>
      <c r="C25" s="28">
        <f>'Fuel Taxes'!C88</f>
        <v>62.54028628916128</v>
      </c>
      <c r="D25" s="28">
        <f>'Fuel Taxes'!D88</f>
        <v>60.171724446797072</v>
      </c>
      <c r="E25" s="28">
        <f>'Fuel Taxes'!E88</f>
        <v>119.48372568338382</v>
      </c>
      <c r="F25" s="26">
        <f>'Fuel Taxes'!F88</f>
        <v>267.55363010353494</v>
      </c>
      <c r="G25" t="s">
        <v>30</v>
      </c>
      <c r="H25" s="14"/>
      <c r="J25" s="11" t="s">
        <v>82</v>
      </c>
    </row>
    <row r="26" spans="1:10" s="5" customFormat="1">
      <c r="A26" s="6" t="s">
        <v>67</v>
      </c>
      <c r="B26" s="29"/>
      <c r="C26" s="29"/>
      <c r="D26" s="29"/>
      <c r="E26" s="29"/>
      <c r="F26" s="29"/>
    </row>
    <row r="27" spans="1:10">
      <c r="A27" t="s">
        <v>71</v>
      </c>
      <c r="B27" s="28">
        <f>'Fuel Taxes'!B89</f>
        <v>17.193083721754792</v>
      </c>
      <c r="C27" s="28">
        <f>'Fuel Taxes'!C89</f>
        <v>42.403379063866929</v>
      </c>
      <c r="D27" s="28">
        <f>'Fuel Taxes'!D89</f>
        <v>40.797453801970796</v>
      </c>
      <c r="E27" s="28">
        <f>'Fuel Taxes'!E89</f>
        <v>81.012000627724731</v>
      </c>
      <c r="F27" s="26">
        <f>'Fuel Taxes'!F89</f>
        <v>181.40591721531723</v>
      </c>
      <c r="G27" t="s">
        <v>30</v>
      </c>
      <c r="H27" s="14"/>
      <c r="J27" s="11" t="s">
        <v>136</v>
      </c>
    </row>
    <row r="28" spans="1:10">
      <c r="A28" t="s">
        <v>68</v>
      </c>
      <c r="B28" s="28">
        <f>'Fuel Taxes'!B90</f>
        <v>96.657522081310745</v>
      </c>
      <c r="C28" s="28">
        <f>'Fuel Taxes'!C90</f>
        <v>238.38687780027794</v>
      </c>
      <c r="D28" s="28">
        <f>'Fuel Taxes'!D90</f>
        <v>229.35855228434681</v>
      </c>
      <c r="E28" s="28">
        <f>'Fuel Taxes'!E90</f>
        <v>455.44006917255115</v>
      </c>
      <c r="F28" s="26">
        <f>'Fuel Taxes'!F90</f>
        <v>1019.8430213384867</v>
      </c>
      <c r="G28" t="s">
        <v>30</v>
      </c>
      <c r="H28" s="14"/>
      <c r="J28" s="11" t="s">
        <v>80</v>
      </c>
    </row>
    <row r="29" spans="1:10" ht="47.25" customHeight="1">
      <c r="A29" t="s">
        <v>69</v>
      </c>
      <c r="B29" s="28">
        <f>'Fuel Taxes'!B91</f>
        <v>69.199369615407562</v>
      </c>
      <c r="C29" s="28">
        <f>'Fuel Taxes'!C91</f>
        <v>168.98020119460725</v>
      </c>
      <c r="D29" s="28">
        <f>'Fuel Taxes'!D91</f>
        <v>159.19499212434394</v>
      </c>
      <c r="E29" s="28">
        <f>'Fuel Taxes'!E91</f>
        <v>303.15376248237254</v>
      </c>
      <c r="F29" s="26">
        <f>'Fuel Taxes'!F91</f>
        <v>700.52832541673138</v>
      </c>
      <c r="G29" t="s">
        <v>30</v>
      </c>
      <c r="H29" s="14" t="s">
        <v>312</v>
      </c>
      <c r="J29" s="11" t="s">
        <v>81</v>
      </c>
    </row>
    <row r="30" spans="1:10" s="5" customFormat="1">
      <c r="A30" s="6" t="s">
        <v>88</v>
      </c>
      <c r="B30" s="29"/>
      <c r="C30" s="29"/>
      <c r="D30" s="29"/>
      <c r="E30" s="29"/>
      <c r="F30" s="29"/>
    </row>
    <row r="31" spans="1:10" ht="45">
      <c r="A31" s="19" t="s">
        <v>88</v>
      </c>
      <c r="B31" s="28">
        <f>4.029*2</f>
        <v>8.0579999999999998</v>
      </c>
      <c r="C31" s="28">
        <f>4.029*5</f>
        <v>20.145</v>
      </c>
      <c r="D31" s="28">
        <f>4.029*5</f>
        <v>20.145</v>
      </c>
      <c r="E31" s="28">
        <f>4.029*10</f>
        <v>40.29</v>
      </c>
      <c r="F31" s="36">
        <f>SUM(B31:E31)</f>
        <v>88.638000000000005</v>
      </c>
      <c r="G31" t="s">
        <v>30</v>
      </c>
      <c r="H31" s="14" t="s">
        <v>308</v>
      </c>
      <c r="J31" s="11" t="s">
        <v>117</v>
      </c>
    </row>
    <row r="32" spans="1:10" s="6" customFormat="1" ht="27.75" customHeight="1">
      <c r="A32" s="6" t="s">
        <v>315</v>
      </c>
      <c r="B32" s="56">
        <f>SUM(B23:B31)</f>
        <v>258.49829703851731</v>
      </c>
      <c r="C32" s="56">
        <f t="shared" ref="C32:F32" si="2">SUM(C23:C31)</f>
        <v>636.12050883012046</v>
      </c>
      <c r="D32" s="56">
        <f t="shared" si="2"/>
        <v>609.40643530781176</v>
      </c>
      <c r="E32" s="56">
        <f t="shared" si="2"/>
        <v>1197.4319337603408</v>
      </c>
      <c r="F32" s="56">
        <f t="shared" si="2"/>
        <v>2701.4571749367906</v>
      </c>
      <c r="G32" s="57"/>
      <c r="H32" s="58"/>
      <c r="I32" s="59"/>
      <c r="J32" s="57"/>
    </row>
    <row r="33" spans="1:10" s="2" customFormat="1" ht="27.75" customHeight="1">
      <c r="A33" s="2" t="s">
        <v>316</v>
      </c>
      <c r="B33" s="145">
        <f>B20+B32</f>
        <v>562.0802970385173</v>
      </c>
      <c r="C33" s="145">
        <f t="shared" ref="C33:F33" si="3">C20+C32</f>
        <v>1359.3225088301203</v>
      </c>
      <c r="D33" s="145">
        <f t="shared" si="3"/>
        <v>1320.7244353078117</v>
      </c>
      <c r="E33" s="145">
        <f t="shared" si="3"/>
        <v>2706.1439337603406</v>
      </c>
      <c r="F33" s="145">
        <f t="shared" si="3"/>
        <v>5948.27117493679</v>
      </c>
    </row>
    <row r="34" spans="1:10">
      <c r="A34" s="19"/>
      <c r="B34" s="28"/>
      <c r="C34" s="28"/>
      <c r="D34" s="28"/>
      <c r="E34" s="28"/>
      <c r="F34" s="36"/>
      <c r="H34" s="14"/>
      <c r="J34" s="138"/>
    </row>
    <row r="35" spans="1:10">
      <c r="A35" s="19"/>
      <c r="B35" s="28"/>
      <c r="C35" s="28"/>
      <c r="D35" s="28"/>
      <c r="E35" s="28"/>
      <c r="F35" s="36"/>
      <c r="H35" s="14"/>
      <c r="J35" s="138"/>
    </row>
    <row r="36" spans="1:10">
      <c r="A36" s="19"/>
      <c r="B36" s="28"/>
      <c r="C36" s="28"/>
      <c r="D36" s="28"/>
      <c r="E36" s="28"/>
      <c r="F36" s="36"/>
      <c r="H36" s="14"/>
      <c r="J36" s="138"/>
    </row>
    <row r="37" spans="1:10">
      <c r="A37" s="19"/>
      <c r="B37" s="28"/>
      <c r="C37" s="28"/>
      <c r="D37" s="28"/>
      <c r="E37" s="28"/>
      <c r="F37" s="36"/>
      <c r="H37" s="14"/>
      <c r="J37" s="138"/>
    </row>
    <row r="38" spans="1:10">
      <c r="A38" s="19"/>
      <c r="B38" s="28"/>
      <c r="C38" s="28"/>
      <c r="D38" s="28"/>
      <c r="E38" s="28"/>
      <c r="F38" s="36"/>
      <c r="H38" s="14"/>
      <c r="J38" s="138"/>
    </row>
    <row r="39" spans="1:10">
      <c r="A39" s="19"/>
      <c r="B39" s="28"/>
      <c r="C39" s="28"/>
      <c r="D39" s="28"/>
      <c r="E39" s="28"/>
      <c r="F39" s="36"/>
      <c r="H39" s="14"/>
      <c r="J39" s="138"/>
    </row>
    <row r="40" spans="1:10" s="5" customFormat="1">
      <c r="A40" s="6" t="s">
        <v>16</v>
      </c>
      <c r="B40" s="42" t="s">
        <v>118</v>
      </c>
      <c r="C40" s="42" t="s">
        <v>119</v>
      </c>
      <c r="D40" s="42" t="s">
        <v>5</v>
      </c>
      <c r="E40" s="42" t="s">
        <v>6</v>
      </c>
      <c r="F40" s="42" t="s">
        <v>7</v>
      </c>
      <c r="G40" s="42" t="s">
        <v>120</v>
      </c>
      <c r="H40" s="6"/>
      <c r="J40" s="6"/>
    </row>
    <row r="41" spans="1:10" ht="60">
      <c r="A41" s="141" t="s">
        <v>309</v>
      </c>
      <c r="B41" s="28">
        <v>556</v>
      </c>
      <c r="C41" s="28">
        <v>1534</v>
      </c>
      <c r="D41" s="28">
        <v>1566</v>
      </c>
      <c r="E41" s="28">
        <v>1716</v>
      </c>
      <c r="F41" s="26">
        <v>3770</v>
      </c>
      <c r="G41" s="26">
        <f>SUM(B41:F41)</f>
        <v>9142</v>
      </c>
      <c r="H41" s="11" t="s">
        <v>122</v>
      </c>
      <c r="J41" s="11" t="s">
        <v>121</v>
      </c>
    </row>
    <row r="44" spans="1:10">
      <c r="A44" s="8"/>
      <c r="G44" s="8"/>
      <c r="J44" s="8"/>
    </row>
    <row r="45" spans="1:10">
      <c r="A45" s="8"/>
      <c r="G45" s="8"/>
      <c r="J45" s="8"/>
    </row>
    <row r="46" spans="1:10">
      <c r="A46" s="8"/>
      <c r="G46" s="8"/>
      <c r="J46" s="8"/>
    </row>
    <row r="47" spans="1:10">
      <c r="A47" s="8"/>
      <c r="G47" s="8"/>
      <c r="J47" s="8"/>
    </row>
  </sheetData>
  <mergeCells count="2">
    <mergeCell ref="J8:J10"/>
    <mergeCell ref="J14:J15"/>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4"/>
  <sheetViews>
    <sheetView showGridLines="0" workbookViewId="0">
      <selection activeCell="B14" sqref="B14"/>
    </sheetView>
  </sheetViews>
  <sheetFormatPr defaultRowHeight="15"/>
  <cols>
    <col min="1" max="1" width="40.140625" customWidth="1"/>
    <col min="2" max="32" width="12" bestFit="1" customWidth="1"/>
    <col min="33" max="33" width="23.140625" bestFit="1" customWidth="1"/>
  </cols>
  <sheetData>
    <row r="1" spans="1:33">
      <c r="A1" s="155" t="s">
        <v>223</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row>
    <row r="2" spans="1:33">
      <c r="A2" s="156"/>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row>
    <row r="3" spans="1:33" s="86" customFormat="1">
      <c r="A3" s="84" t="s">
        <v>224</v>
      </c>
      <c r="B3" s="85">
        <v>2010</v>
      </c>
      <c r="C3" s="85">
        <v>2011</v>
      </c>
      <c r="D3" s="85">
        <v>2012</v>
      </c>
      <c r="E3" s="85">
        <v>2013</v>
      </c>
      <c r="F3" s="85">
        <v>2014</v>
      </c>
      <c r="G3" s="85">
        <v>2015</v>
      </c>
      <c r="H3" s="85">
        <v>2016</v>
      </c>
      <c r="I3" s="85">
        <v>2017</v>
      </c>
      <c r="J3" s="85">
        <v>2018</v>
      </c>
      <c r="K3" s="85">
        <v>2019</v>
      </c>
      <c r="L3" s="85">
        <v>2020</v>
      </c>
      <c r="M3" s="85">
        <v>2021</v>
      </c>
      <c r="N3" s="85">
        <v>2022</v>
      </c>
      <c r="O3" s="85">
        <v>2023</v>
      </c>
      <c r="P3" s="85">
        <v>2024</v>
      </c>
      <c r="Q3" s="85">
        <v>2025</v>
      </c>
      <c r="R3" s="85">
        <v>2026</v>
      </c>
      <c r="S3" s="85">
        <v>2027</v>
      </c>
      <c r="T3" s="85">
        <v>2028</v>
      </c>
      <c r="U3" s="85">
        <v>2029</v>
      </c>
      <c r="V3" s="85">
        <v>2030</v>
      </c>
      <c r="W3" s="85">
        <v>2031</v>
      </c>
      <c r="X3" s="85">
        <v>2032</v>
      </c>
      <c r="Y3" s="85">
        <v>2033</v>
      </c>
      <c r="Z3" s="85">
        <v>2034</v>
      </c>
      <c r="AA3" s="85">
        <v>2035</v>
      </c>
      <c r="AB3" s="85">
        <v>2036</v>
      </c>
      <c r="AC3" s="85">
        <v>2037</v>
      </c>
      <c r="AD3" s="85">
        <v>2038</v>
      </c>
      <c r="AE3" s="85">
        <v>2039</v>
      </c>
      <c r="AF3" s="85">
        <v>2040</v>
      </c>
      <c r="AG3" s="85" t="s">
        <v>180</v>
      </c>
    </row>
    <row r="4" spans="1:33">
      <c r="A4" s="87"/>
    </row>
    <row r="5" spans="1:33">
      <c r="A5" s="89" t="s">
        <v>225</v>
      </c>
    </row>
    <row r="6" spans="1:33">
      <c r="A6" s="89" t="s">
        <v>226</v>
      </c>
    </row>
    <row r="7" spans="1:33">
      <c r="A7" s="89" t="s">
        <v>227</v>
      </c>
    </row>
    <row r="8" spans="1:33" ht="16.5" customHeight="1">
      <c r="A8" s="87" t="s">
        <v>228</v>
      </c>
      <c r="B8" s="103">
        <v>2654.1127929999998</v>
      </c>
      <c r="C8" s="103">
        <v>2629.399414</v>
      </c>
      <c r="D8" s="103">
        <v>2658.2404790000001</v>
      </c>
      <c r="E8" s="103">
        <v>2639.006836</v>
      </c>
      <c r="F8" s="103">
        <v>2642.4887699999999</v>
      </c>
      <c r="G8" s="103">
        <v>2675.3403320000002</v>
      </c>
      <c r="H8" s="103">
        <v>2713.5439449999999</v>
      </c>
      <c r="I8" s="103">
        <v>2753.0205080000001</v>
      </c>
      <c r="J8" s="103">
        <v>2791.3168949999999</v>
      </c>
      <c r="K8" s="103">
        <v>2830.5129390000002</v>
      </c>
      <c r="L8" s="103">
        <v>2870.2790530000002</v>
      </c>
      <c r="M8" s="103">
        <v>2910.5966800000001</v>
      </c>
      <c r="N8" s="103">
        <v>2952.3718260000001</v>
      </c>
      <c r="O8" s="103">
        <v>2996.2966310000002</v>
      </c>
      <c r="P8" s="103">
        <v>3041.6708979999999</v>
      </c>
      <c r="Q8" s="103">
        <v>3089.2778320000002</v>
      </c>
      <c r="R8" s="103">
        <v>3136.328125</v>
      </c>
      <c r="S8" s="103">
        <v>3183.977539</v>
      </c>
      <c r="T8" s="103">
        <v>3231.4826659999999</v>
      </c>
      <c r="U8" s="103">
        <v>3277.4265140000002</v>
      </c>
      <c r="V8" s="103">
        <v>3323.0615229999999</v>
      </c>
      <c r="W8" s="103">
        <v>3368.1545409999999</v>
      </c>
      <c r="X8" s="103">
        <v>3411.9064939999998</v>
      </c>
      <c r="Y8" s="103">
        <v>3452.7216800000001</v>
      </c>
      <c r="Z8" s="103">
        <v>3492.890625</v>
      </c>
      <c r="AA8" s="103">
        <v>3531.7141109999998</v>
      </c>
      <c r="AB8" s="103">
        <v>3569.3046880000002</v>
      </c>
      <c r="AC8" s="103">
        <v>3606.6748050000001</v>
      </c>
      <c r="AD8" s="103">
        <v>3644.2150879999999</v>
      </c>
      <c r="AE8" s="103">
        <v>3681.5187989999999</v>
      </c>
      <c r="AF8" s="103">
        <v>3718.7785640000002</v>
      </c>
      <c r="AG8" s="90">
        <v>1.2E-2</v>
      </c>
    </row>
    <row r="9" spans="1:33">
      <c r="A9" s="87" t="s">
        <v>229</v>
      </c>
      <c r="B9" s="103">
        <v>64.621871999999996</v>
      </c>
      <c r="C9" s="103">
        <v>64.644065999999995</v>
      </c>
      <c r="D9" s="103">
        <v>64.760375999999994</v>
      </c>
      <c r="E9" s="103">
        <v>65.778182999999999</v>
      </c>
      <c r="F9" s="103">
        <v>68.073311000000004</v>
      </c>
      <c r="G9" s="103">
        <v>70.607849000000002</v>
      </c>
      <c r="H9" s="103">
        <v>72.702483999999998</v>
      </c>
      <c r="I9" s="103">
        <v>74.760673999999995</v>
      </c>
      <c r="J9" s="103">
        <v>76.599625000000003</v>
      </c>
      <c r="K9" s="103">
        <v>78.387450999999999</v>
      </c>
      <c r="L9" s="103">
        <v>79.988822999999996</v>
      </c>
      <c r="M9" s="103">
        <v>81.530022000000002</v>
      </c>
      <c r="N9" s="103">
        <v>83.214179999999999</v>
      </c>
      <c r="O9" s="103">
        <v>84.613235000000003</v>
      </c>
      <c r="P9" s="103">
        <v>86.010268999999994</v>
      </c>
      <c r="Q9" s="103">
        <v>87.465378000000001</v>
      </c>
      <c r="R9" s="103">
        <v>88.873169000000004</v>
      </c>
      <c r="S9" s="103">
        <v>90.172859000000003</v>
      </c>
      <c r="T9" s="103">
        <v>91.439071999999996</v>
      </c>
      <c r="U9" s="103">
        <v>92.720612000000003</v>
      </c>
      <c r="V9" s="103">
        <v>94.153426999999994</v>
      </c>
      <c r="W9" s="103">
        <v>95.639708999999996</v>
      </c>
      <c r="X9" s="103">
        <v>97.018448000000006</v>
      </c>
      <c r="Y9" s="103">
        <v>98.393433000000002</v>
      </c>
      <c r="Z9" s="103">
        <v>99.943038999999999</v>
      </c>
      <c r="AA9" s="103">
        <v>101.55632</v>
      </c>
      <c r="AB9" s="103">
        <v>103.178169</v>
      </c>
      <c r="AC9" s="103">
        <v>104.899254</v>
      </c>
      <c r="AD9" s="103">
        <v>106.621872</v>
      </c>
      <c r="AE9" s="103">
        <v>108.289452</v>
      </c>
      <c r="AF9" s="103">
        <v>109.972855</v>
      </c>
      <c r="AG9" s="90">
        <v>1.7999999999999999E-2</v>
      </c>
    </row>
    <row r="10" spans="1:33" ht="15" customHeight="1">
      <c r="A10" s="87" t="s">
        <v>230</v>
      </c>
      <c r="B10" s="103">
        <v>235.466476</v>
      </c>
      <c r="C10" s="103">
        <v>240.450729</v>
      </c>
      <c r="D10" s="103">
        <v>238.034164</v>
      </c>
      <c r="E10" s="103">
        <v>252.27984599999999</v>
      </c>
      <c r="F10" s="103">
        <v>271.32995599999998</v>
      </c>
      <c r="G10" s="103">
        <v>284.34414700000002</v>
      </c>
      <c r="H10" s="103">
        <v>293.75192299999998</v>
      </c>
      <c r="I10" s="103">
        <v>302.11981200000002</v>
      </c>
      <c r="J10" s="103">
        <v>309.95822099999998</v>
      </c>
      <c r="K10" s="103">
        <v>317.30535900000001</v>
      </c>
      <c r="L10" s="103">
        <v>323.26702899999998</v>
      </c>
      <c r="M10" s="103">
        <v>329.077606</v>
      </c>
      <c r="N10" s="103">
        <v>335.44604500000003</v>
      </c>
      <c r="O10" s="103">
        <v>340.51309199999997</v>
      </c>
      <c r="P10" s="103">
        <v>345.11206099999998</v>
      </c>
      <c r="Q10" s="103">
        <v>349.85134900000003</v>
      </c>
      <c r="R10" s="103">
        <v>354.14657599999998</v>
      </c>
      <c r="S10" s="103">
        <v>357.99594100000002</v>
      </c>
      <c r="T10" s="103">
        <v>361.71313500000002</v>
      </c>
      <c r="U10" s="103">
        <v>365.899811</v>
      </c>
      <c r="V10" s="103">
        <v>371.12478599999997</v>
      </c>
      <c r="W10" s="103">
        <v>376.829926</v>
      </c>
      <c r="X10" s="103">
        <v>382.01174900000001</v>
      </c>
      <c r="Y10" s="103">
        <v>387.507812</v>
      </c>
      <c r="Z10" s="103">
        <v>394.06140099999999</v>
      </c>
      <c r="AA10" s="103">
        <v>400.89059400000002</v>
      </c>
      <c r="AB10" s="103">
        <v>407.64086900000001</v>
      </c>
      <c r="AC10" s="103">
        <v>415.05072000000001</v>
      </c>
      <c r="AD10" s="103">
        <v>422.72079500000001</v>
      </c>
      <c r="AE10" s="103">
        <v>430.534851</v>
      </c>
      <c r="AF10" s="103">
        <v>438.46121199999999</v>
      </c>
      <c r="AG10" s="90">
        <v>2.1000000000000001E-2</v>
      </c>
    </row>
    <row r="11" spans="1:33" ht="15" customHeight="1">
      <c r="A11" s="87"/>
      <c r="B11" s="91">
        <f>SUM(B8:B10)</f>
        <v>2954.201141</v>
      </c>
      <c r="C11" s="91">
        <f t="shared" ref="C11:AF11" si="0">SUM(C8:C10)</f>
        <v>2934.494209</v>
      </c>
      <c r="D11" s="91">
        <f t="shared" si="0"/>
        <v>2961.0350190000004</v>
      </c>
      <c r="E11" s="91">
        <f t="shared" si="0"/>
        <v>2957.0648649999998</v>
      </c>
      <c r="F11" s="91">
        <f t="shared" si="0"/>
        <v>2981.8920370000001</v>
      </c>
      <c r="G11" s="91">
        <f t="shared" si="0"/>
        <v>3030.2923280000005</v>
      </c>
      <c r="H11" s="91">
        <f t="shared" si="0"/>
        <v>3079.9983519999996</v>
      </c>
      <c r="I11" s="91">
        <f t="shared" si="0"/>
        <v>3129.9009940000001</v>
      </c>
      <c r="J11" s="91">
        <f t="shared" si="0"/>
        <v>3177.8747409999996</v>
      </c>
      <c r="K11" s="91">
        <f t="shared" si="0"/>
        <v>3226.2057490000002</v>
      </c>
      <c r="L11" s="91">
        <f t="shared" si="0"/>
        <v>3273.5349050000004</v>
      </c>
      <c r="M11" s="91">
        <f t="shared" si="0"/>
        <v>3321.2043079999999</v>
      </c>
      <c r="N11" s="91">
        <f t="shared" si="0"/>
        <v>3371.0320510000001</v>
      </c>
      <c r="O11" s="91">
        <f t="shared" si="0"/>
        <v>3421.4229580000001</v>
      </c>
      <c r="P11" s="91">
        <f t="shared" si="0"/>
        <v>3472.7932279999995</v>
      </c>
      <c r="Q11" s="91">
        <f t="shared" si="0"/>
        <v>3526.5945590000001</v>
      </c>
      <c r="R11" s="91">
        <f t="shared" si="0"/>
        <v>3579.3478700000001</v>
      </c>
      <c r="S11" s="91">
        <f t="shared" si="0"/>
        <v>3632.1463389999999</v>
      </c>
      <c r="T11" s="91">
        <f t="shared" si="0"/>
        <v>3684.634873</v>
      </c>
      <c r="U11" s="91">
        <f t="shared" si="0"/>
        <v>3736.0469370000001</v>
      </c>
      <c r="V11" s="91">
        <f t="shared" si="0"/>
        <v>3788.3397359999999</v>
      </c>
      <c r="W11" s="91">
        <f t="shared" si="0"/>
        <v>3840.6241759999998</v>
      </c>
      <c r="X11" s="91">
        <f t="shared" si="0"/>
        <v>3890.9366909999999</v>
      </c>
      <c r="Y11" s="91">
        <f t="shared" si="0"/>
        <v>3938.6229250000001</v>
      </c>
      <c r="Z11" s="91">
        <f t="shared" si="0"/>
        <v>3986.8950649999997</v>
      </c>
      <c r="AA11" s="91">
        <f t="shared" si="0"/>
        <v>4034.1610249999999</v>
      </c>
      <c r="AB11" s="91">
        <f t="shared" si="0"/>
        <v>4080.1237259999998</v>
      </c>
      <c r="AC11" s="91">
        <f t="shared" si="0"/>
        <v>4126.6247789999998</v>
      </c>
      <c r="AD11" s="91">
        <f t="shared" si="0"/>
        <v>4173.5577549999998</v>
      </c>
      <c r="AE11" s="91">
        <f t="shared" si="0"/>
        <v>4220.3431019999998</v>
      </c>
      <c r="AF11" s="91">
        <f t="shared" si="0"/>
        <v>4267.2126310000003</v>
      </c>
      <c r="AG11" s="90"/>
    </row>
    <row r="12" spans="1:33" ht="15" customHeight="1">
      <c r="A12" s="87" t="s">
        <v>228</v>
      </c>
      <c r="B12" s="117">
        <f>B8/B$11</f>
        <v>0.898419798220503</v>
      </c>
      <c r="C12" s="117">
        <f t="shared" ref="C12:AF14" si="1">C8/C$11</f>
        <v>0.89603155662591394</v>
      </c>
      <c r="D12" s="117">
        <f t="shared" si="1"/>
        <v>0.89774030429999441</v>
      </c>
      <c r="E12" s="117">
        <f t="shared" si="1"/>
        <v>0.89244130801303889</v>
      </c>
      <c r="F12" s="117">
        <f t="shared" si="1"/>
        <v>0.88617855281525737</v>
      </c>
      <c r="G12" s="117">
        <f t="shared" si="1"/>
        <v>0.8828654276288026</v>
      </c>
      <c r="H12" s="117">
        <f t="shared" si="1"/>
        <v>0.88102123276720512</v>
      </c>
      <c r="I12" s="117">
        <f t="shared" si="1"/>
        <v>0.87958709022346793</v>
      </c>
      <c r="J12" s="117">
        <f t="shared" si="1"/>
        <v>0.87835963418798579</v>
      </c>
      <c r="K12" s="117">
        <f t="shared" si="1"/>
        <v>0.87735041073476183</v>
      </c>
      <c r="L12" s="117">
        <f t="shared" si="1"/>
        <v>0.87681333368889181</v>
      </c>
      <c r="M12" s="117">
        <f t="shared" si="1"/>
        <v>0.87636785035749154</v>
      </c>
      <c r="N12" s="117">
        <f t="shared" si="1"/>
        <v>0.8758065130600563</v>
      </c>
      <c r="O12" s="117">
        <f t="shared" si="1"/>
        <v>0.87574575484566564</v>
      </c>
      <c r="P12" s="117">
        <f t="shared" si="1"/>
        <v>0.87585718420434566</v>
      </c>
      <c r="Q12" s="117">
        <f t="shared" si="1"/>
        <v>0.87599461188869832</v>
      </c>
      <c r="R12" s="117">
        <f t="shared" si="1"/>
        <v>0.87622892183430046</v>
      </c>
      <c r="S12" s="117">
        <f t="shared" si="1"/>
        <v>0.87661047816608917</v>
      </c>
      <c r="T12" s="117">
        <f t="shared" si="1"/>
        <v>0.87701570912206905</v>
      </c>
      <c r="U12" s="117">
        <f t="shared" si="1"/>
        <v>0.87724446969387748</v>
      </c>
      <c r="V12" s="117">
        <f t="shared" si="1"/>
        <v>0.87718149758889519</v>
      </c>
      <c r="W12" s="117">
        <f t="shared" si="1"/>
        <v>0.87698102877327722</v>
      </c>
      <c r="X12" s="117">
        <f t="shared" si="1"/>
        <v>0.8768856357627125</v>
      </c>
      <c r="Y12" s="117">
        <f t="shared" si="1"/>
        <v>0.87663169228112892</v>
      </c>
      <c r="Z12" s="117">
        <f t="shared" si="1"/>
        <v>0.87609294151312211</v>
      </c>
      <c r="AA12" s="117">
        <f t="shared" si="1"/>
        <v>0.87545194381525704</v>
      </c>
      <c r="AB12" s="117">
        <f t="shared" si="1"/>
        <v>0.8748030519896054</v>
      </c>
      <c r="AC12" s="117">
        <f t="shared" si="1"/>
        <v>0.87400115061442574</v>
      </c>
      <c r="AD12" s="117">
        <f t="shared" si="1"/>
        <v>0.87316752323222613</v>
      </c>
      <c r="AE12" s="117">
        <f t="shared" si="1"/>
        <v>0.87232689618418613</v>
      </c>
      <c r="AF12" s="117">
        <f t="shared" si="1"/>
        <v>0.87147721137311185</v>
      </c>
      <c r="AG12" s="90"/>
    </row>
    <row r="13" spans="1:33" ht="15" customHeight="1">
      <c r="A13" s="87" t="s">
        <v>229</v>
      </c>
      <c r="B13" s="117">
        <f t="shared" ref="B13:Q14" si="2">B9/B$11</f>
        <v>2.1874567409491091E-2</v>
      </c>
      <c r="C13" s="117">
        <f t="shared" si="2"/>
        <v>2.2029031715836655E-2</v>
      </c>
      <c r="D13" s="117">
        <f t="shared" si="2"/>
        <v>2.1870857853572716E-2</v>
      </c>
      <c r="E13" s="117">
        <f t="shared" si="2"/>
        <v>2.2244416677684207E-2</v>
      </c>
      <c r="F13" s="117">
        <f t="shared" si="2"/>
        <v>2.2828898617163449E-2</v>
      </c>
      <c r="G13" s="117">
        <f t="shared" si="2"/>
        <v>2.3300672462382974E-2</v>
      </c>
      <c r="H13" s="117">
        <f t="shared" si="2"/>
        <v>2.360471522745802E-2</v>
      </c>
      <c r="I13" s="117">
        <f t="shared" si="2"/>
        <v>2.388595490506432E-2</v>
      </c>
      <c r="J13" s="117">
        <f t="shared" si="2"/>
        <v>2.410404161364018E-2</v>
      </c>
      <c r="K13" s="117">
        <f t="shared" si="2"/>
        <v>2.4297102261471418E-2</v>
      </c>
      <c r="L13" s="117">
        <f t="shared" si="2"/>
        <v>2.4434999265724948E-2</v>
      </c>
      <c r="M13" s="117">
        <f t="shared" si="2"/>
        <v>2.4548330797841422E-2</v>
      </c>
      <c r="N13" s="117">
        <f t="shared" si="2"/>
        <v>2.4685075294764675E-2</v>
      </c>
      <c r="O13" s="117">
        <f t="shared" si="2"/>
        <v>2.4730422411574873E-2</v>
      </c>
      <c r="P13" s="117">
        <f t="shared" si="2"/>
        <v>2.4766884566154772E-2</v>
      </c>
      <c r="Q13" s="117">
        <f t="shared" si="2"/>
        <v>2.4801653985651713E-2</v>
      </c>
      <c r="R13" s="117">
        <f t="shared" si="1"/>
        <v>2.4829430451530826E-2</v>
      </c>
      <c r="S13" s="117">
        <f t="shared" si="1"/>
        <v>2.4826328727940609E-2</v>
      </c>
      <c r="T13" s="117">
        <f t="shared" si="1"/>
        <v>2.4816318346775848E-2</v>
      </c>
      <c r="U13" s="117">
        <f t="shared" si="1"/>
        <v>2.4817839166242788E-2</v>
      </c>
      <c r="V13" s="117">
        <f t="shared" si="1"/>
        <v>2.4853480300426781E-2</v>
      </c>
      <c r="W13" s="117">
        <f t="shared" si="1"/>
        <v>2.4902126481849238E-2</v>
      </c>
      <c r="X13" s="117">
        <f t="shared" si="1"/>
        <v>2.4934470978263474E-2</v>
      </c>
      <c r="Y13" s="117">
        <f t="shared" si="1"/>
        <v>2.4981683921925579E-2</v>
      </c>
      <c r="Z13" s="117">
        <f t="shared" si="1"/>
        <v>2.5067888010742015E-2</v>
      </c>
      <c r="AA13" s="117">
        <f t="shared" si="1"/>
        <v>2.5174086847462914E-2</v>
      </c>
      <c r="AB13" s="117">
        <f t="shared" si="1"/>
        <v>2.5288000053163093E-2</v>
      </c>
      <c r="AC13" s="117">
        <f t="shared" si="1"/>
        <v>2.5420109561165413E-2</v>
      </c>
      <c r="AD13" s="117">
        <f t="shared" si="1"/>
        <v>2.5546998091080689E-2</v>
      </c>
      <c r="AE13" s="117">
        <f t="shared" si="1"/>
        <v>2.565892141534231E-2</v>
      </c>
      <c r="AF13" s="117">
        <f t="shared" si="1"/>
        <v>2.5771590147882648E-2</v>
      </c>
      <c r="AG13" s="90"/>
    </row>
    <row r="14" spans="1:33" ht="15" customHeight="1">
      <c r="A14" s="87" t="s">
        <v>230</v>
      </c>
      <c r="B14" s="117">
        <f t="shared" si="2"/>
        <v>7.9705634370005815E-2</v>
      </c>
      <c r="C14" s="117">
        <f t="shared" si="1"/>
        <v>8.1939411658249417E-2</v>
      </c>
      <c r="D14" s="117">
        <f t="shared" si="1"/>
        <v>8.0388837846432776E-2</v>
      </c>
      <c r="E14" s="117">
        <f t="shared" si="1"/>
        <v>8.5314275309276988E-2</v>
      </c>
      <c r="F14" s="117">
        <f t="shared" si="1"/>
        <v>9.0992548567579129E-2</v>
      </c>
      <c r="G14" s="117">
        <f t="shared" si="1"/>
        <v>9.3833899908814342E-2</v>
      </c>
      <c r="H14" s="117">
        <f t="shared" si="1"/>
        <v>9.5374052005336926E-2</v>
      </c>
      <c r="I14" s="117">
        <f t="shared" si="1"/>
        <v>9.6526954871467743E-2</v>
      </c>
      <c r="J14" s="117">
        <f t="shared" si="1"/>
        <v>9.7536324198374061E-2</v>
      </c>
      <c r="K14" s="117">
        <f t="shared" si="1"/>
        <v>9.8352487003766725E-2</v>
      </c>
      <c r="L14" s="117">
        <f t="shared" si="1"/>
        <v>9.8751667045383143E-2</v>
      </c>
      <c r="M14" s="117">
        <f t="shared" si="1"/>
        <v>9.9083818844667118E-2</v>
      </c>
      <c r="N14" s="117">
        <f t="shared" si="1"/>
        <v>9.9508411645178985E-2</v>
      </c>
      <c r="O14" s="117">
        <f t="shared" si="1"/>
        <v>9.9523822742759518E-2</v>
      </c>
      <c r="P14" s="117">
        <f t="shared" si="1"/>
        <v>9.9375931229499628E-2</v>
      </c>
      <c r="Q14" s="117">
        <f t="shared" si="1"/>
        <v>9.9203734125650034E-2</v>
      </c>
      <c r="R14" s="117">
        <f t="shared" si="1"/>
        <v>9.8941647714168662E-2</v>
      </c>
      <c r="S14" s="117">
        <f t="shared" si="1"/>
        <v>9.8563193105970295E-2</v>
      </c>
      <c r="T14" s="117">
        <f t="shared" si="1"/>
        <v>9.8167972531155057E-2</v>
      </c>
      <c r="U14" s="117">
        <f t="shared" si="1"/>
        <v>9.7937691139879809E-2</v>
      </c>
      <c r="V14" s="117">
        <f t="shared" si="1"/>
        <v>9.7965022110677979E-2</v>
      </c>
      <c r="W14" s="117">
        <f t="shared" si="1"/>
        <v>9.8116844744873574E-2</v>
      </c>
      <c r="X14" s="117">
        <f t="shared" si="1"/>
        <v>9.8179893259023987E-2</v>
      </c>
      <c r="Y14" s="117">
        <f t="shared" si="1"/>
        <v>9.8386623796945474E-2</v>
      </c>
      <c r="Z14" s="117">
        <f t="shared" si="1"/>
        <v>9.8839170476135926E-2</v>
      </c>
      <c r="AA14" s="117">
        <f t="shared" si="1"/>
        <v>9.9373969337279988E-2</v>
      </c>
      <c r="AB14" s="117">
        <f t="shared" si="1"/>
        <v>9.9908947957231639E-2</v>
      </c>
      <c r="AC14" s="117">
        <f t="shared" si="1"/>
        <v>0.10057873982440894</v>
      </c>
      <c r="AD14" s="117">
        <f t="shared" si="1"/>
        <v>0.1012854786766932</v>
      </c>
      <c r="AE14" s="117">
        <f t="shared" si="1"/>
        <v>0.10201418240047158</v>
      </c>
      <c r="AF14" s="117">
        <f t="shared" si="1"/>
        <v>0.10275119847900543</v>
      </c>
      <c r="AG14" s="90"/>
    </row>
    <row r="15" spans="1:33" ht="15" customHeight="1">
      <c r="A15" s="87"/>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90"/>
    </row>
    <row r="16" spans="1:33">
      <c r="A16" s="89" t="s">
        <v>231</v>
      </c>
    </row>
    <row r="17" spans="1:33">
      <c r="A17" s="87" t="s">
        <v>232</v>
      </c>
      <c r="B17" s="103">
        <v>998.78149399999995</v>
      </c>
      <c r="C17" s="103">
        <v>982.37756300000001</v>
      </c>
      <c r="D17" s="103">
        <v>991.89648399999999</v>
      </c>
      <c r="E17" s="103">
        <v>1002.217529</v>
      </c>
      <c r="F17" s="103">
        <v>1015.138611</v>
      </c>
      <c r="G17" s="103">
        <v>1027.4826660000001</v>
      </c>
      <c r="H17" s="103">
        <v>1039.3422849999999</v>
      </c>
      <c r="I17" s="103">
        <v>1050.140259</v>
      </c>
      <c r="J17" s="103">
        <v>1060.7513429999999</v>
      </c>
      <c r="K17" s="103">
        <v>1071.369019</v>
      </c>
      <c r="L17" s="103">
        <v>1081.6671140000001</v>
      </c>
      <c r="M17" s="103">
        <v>1091.6767580000001</v>
      </c>
      <c r="N17" s="103">
        <v>1101.6389160000001</v>
      </c>
      <c r="O17" s="103">
        <v>1111.3735349999999</v>
      </c>
      <c r="P17" s="103">
        <v>1120.985962</v>
      </c>
      <c r="Q17" s="103">
        <v>1130.5225829999999</v>
      </c>
      <c r="R17" s="103">
        <v>1139.8598629999999</v>
      </c>
      <c r="S17" s="103">
        <v>1149.192871</v>
      </c>
      <c r="T17" s="103">
        <v>1158.4332280000001</v>
      </c>
      <c r="U17" s="103">
        <v>1167.569092</v>
      </c>
      <c r="V17" s="103">
        <v>1176.6811520000001</v>
      </c>
      <c r="W17" s="103">
        <v>1185.740845</v>
      </c>
      <c r="X17" s="103">
        <v>1194.741577</v>
      </c>
      <c r="Y17" s="103">
        <v>1203.7037350000001</v>
      </c>
      <c r="Z17" s="103">
        <v>1212.6583250000001</v>
      </c>
      <c r="AA17" s="103">
        <v>1221.599487</v>
      </c>
      <c r="AB17" s="103">
        <v>1231.9770510000001</v>
      </c>
      <c r="AC17" s="103">
        <v>1242.3747559999999</v>
      </c>
      <c r="AD17" s="103">
        <v>1252.796875</v>
      </c>
      <c r="AE17" s="103">
        <v>1263.258057</v>
      </c>
      <c r="AF17" s="103">
        <v>1273.762939</v>
      </c>
      <c r="AG17" s="90">
        <v>8.9999999999999993E-3</v>
      </c>
    </row>
    <row r="18" spans="1:33">
      <c r="A18" s="89" t="s">
        <v>233</v>
      </c>
    </row>
    <row r="19" spans="1:33">
      <c r="A19" s="87" t="s">
        <v>234</v>
      </c>
      <c r="B19" s="103">
        <v>1581.275635</v>
      </c>
      <c r="C19" s="103">
        <v>1556.552856</v>
      </c>
      <c r="D19" s="103">
        <v>1353.8801269999999</v>
      </c>
      <c r="E19" s="103">
        <v>1462.6130370000001</v>
      </c>
      <c r="F19" s="103">
        <v>1520.0107419999999</v>
      </c>
      <c r="G19" s="103">
        <v>1576.1082759999999</v>
      </c>
      <c r="H19" s="103">
        <v>1551.0063479999999</v>
      </c>
      <c r="I19" s="103">
        <v>1598.2208250000001</v>
      </c>
      <c r="J19" s="103">
        <v>1646.6396480000001</v>
      </c>
      <c r="K19" s="103">
        <v>1688.2852780000001</v>
      </c>
      <c r="L19" s="103">
        <v>1719.02124</v>
      </c>
      <c r="M19" s="103">
        <v>1743.709595</v>
      </c>
      <c r="N19" s="103">
        <v>1771.533081</v>
      </c>
      <c r="O19" s="103">
        <v>1801.3735349999999</v>
      </c>
      <c r="P19" s="103">
        <v>1814.7288820000001</v>
      </c>
      <c r="Q19" s="103">
        <v>1833.4571530000001</v>
      </c>
      <c r="R19" s="103">
        <v>1854.3673100000001</v>
      </c>
      <c r="S19" s="103">
        <v>1861.38562</v>
      </c>
      <c r="T19" s="103">
        <v>1874.3797609999999</v>
      </c>
      <c r="U19" s="103">
        <v>1884.3946530000001</v>
      </c>
      <c r="V19" s="103">
        <v>1909.696289</v>
      </c>
      <c r="W19" s="103">
        <v>1915.0211179999999</v>
      </c>
      <c r="X19" s="103">
        <v>1921.2425539999999</v>
      </c>
      <c r="Y19" s="103">
        <v>1930.235596</v>
      </c>
      <c r="Z19" s="103">
        <v>1950.011841</v>
      </c>
      <c r="AA19" s="103">
        <v>1968.9460449999999</v>
      </c>
      <c r="AB19" s="103">
        <v>1963.9736330000001</v>
      </c>
      <c r="AC19" s="103">
        <v>1985.3522949999999</v>
      </c>
      <c r="AD19" s="103">
        <v>1998.823975</v>
      </c>
      <c r="AE19" s="103">
        <v>2003.6491699999999</v>
      </c>
      <c r="AF19" s="103">
        <v>2017.4373780000001</v>
      </c>
      <c r="AG19" s="90">
        <v>8.9999999999999993E-3</v>
      </c>
    </row>
    <row r="20" spans="1:33">
      <c r="A20" s="87" t="s">
        <v>235</v>
      </c>
      <c r="B20" s="103">
        <v>507.82513399999999</v>
      </c>
      <c r="C20" s="103">
        <v>514.05310099999997</v>
      </c>
      <c r="D20" s="103">
        <v>476.165344</v>
      </c>
      <c r="E20" s="103">
        <v>516.78015100000005</v>
      </c>
      <c r="F20" s="103">
        <v>561.95117200000004</v>
      </c>
      <c r="G20" s="103">
        <v>573.89355499999999</v>
      </c>
      <c r="H20" s="103">
        <v>589.19445800000005</v>
      </c>
      <c r="I20" s="103">
        <v>597.17511000000002</v>
      </c>
      <c r="J20" s="103">
        <v>603.27392599999996</v>
      </c>
      <c r="K20" s="103">
        <v>610.53765899999996</v>
      </c>
      <c r="L20" s="103">
        <v>611.97131300000001</v>
      </c>
      <c r="M20" s="103">
        <v>611.692993</v>
      </c>
      <c r="N20" s="103">
        <v>609.85095200000001</v>
      </c>
      <c r="O20" s="103">
        <v>607.66503899999998</v>
      </c>
      <c r="P20" s="103">
        <v>603.57556199999999</v>
      </c>
      <c r="Q20" s="103">
        <v>599.728027</v>
      </c>
      <c r="R20" s="103">
        <v>591.41131600000006</v>
      </c>
      <c r="S20" s="103">
        <v>586.818848</v>
      </c>
      <c r="T20" s="103">
        <v>582.60766599999999</v>
      </c>
      <c r="U20" s="103">
        <v>578.98541299999999</v>
      </c>
      <c r="V20" s="103">
        <v>578.27075200000002</v>
      </c>
      <c r="W20" s="103">
        <v>579.73504600000001</v>
      </c>
      <c r="X20" s="103">
        <v>580.46691899999996</v>
      </c>
      <c r="Y20" s="103">
        <v>582.42260699999997</v>
      </c>
      <c r="Z20" s="103">
        <v>583.45617700000003</v>
      </c>
      <c r="AA20" s="103">
        <v>583.69604500000003</v>
      </c>
      <c r="AB20" s="103">
        <v>580.17700200000002</v>
      </c>
      <c r="AC20" s="103">
        <v>579.59124799999995</v>
      </c>
      <c r="AD20" s="103">
        <v>582.98956299999998</v>
      </c>
      <c r="AE20" s="103">
        <v>588.55987500000003</v>
      </c>
      <c r="AF20" s="103">
        <v>590.90124500000002</v>
      </c>
      <c r="AG20" s="90">
        <v>5.0000000000000001E-3</v>
      </c>
    </row>
    <row r="21" spans="1:33">
      <c r="A21" s="87"/>
    </row>
    <row r="22" spans="1:33">
      <c r="A22" s="89" t="s">
        <v>236</v>
      </c>
    </row>
    <row r="23" spans="1:33">
      <c r="A23" s="89" t="s">
        <v>237</v>
      </c>
    </row>
    <row r="24" spans="1:33">
      <c r="A24" s="87" t="s">
        <v>238</v>
      </c>
      <c r="B24" s="103">
        <v>25.469366000000001</v>
      </c>
      <c r="C24" s="103">
        <v>27.618867999999999</v>
      </c>
      <c r="D24" s="103">
        <v>29.436578999999998</v>
      </c>
      <c r="E24" s="103">
        <v>30.035677</v>
      </c>
      <c r="F24" s="103">
        <v>30.696197999999999</v>
      </c>
      <c r="G24" s="103">
        <v>31.809771999999999</v>
      </c>
      <c r="H24" s="103">
        <v>33.232632000000002</v>
      </c>
      <c r="I24" s="103">
        <v>33.933253999999998</v>
      </c>
      <c r="J24" s="103">
        <v>34.556946000000003</v>
      </c>
      <c r="K24" s="103">
        <v>35.593207999999997</v>
      </c>
      <c r="L24" s="103">
        <v>37.031857000000002</v>
      </c>
      <c r="M24" s="103">
        <v>39.082656999999998</v>
      </c>
      <c r="N24" s="103">
        <v>40.889442000000003</v>
      </c>
      <c r="O24" s="103">
        <v>42.865397999999999</v>
      </c>
      <c r="P24" s="103">
        <v>44.521495999999999</v>
      </c>
      <c r="Q24" s="103">
        <v>46.842601999999999</v>
      </c>
      <c r="R24" s="103">
        <v>46.835490999999998</v>
      </c>
      <c r="S24" s="103">
        <v>46.950794000000002</v>
      </c>
      <c r="T24" s="103">
        <v>47.056759</v>
      </c>
      <c r="U24" s="103">
        <v>47.144806000000003</v>
      </c>
      <c r="V24" s="103">
        <v>47.218139999999998</v>
      </c>
      <c r="W24" s="103">
        <v>47.281857000000002</v>
      </c>
      <c r="X24" s="103">
        <v>47.339993</v>
      </c>
      <c r="Y24" s="103">
        <v>47.413936999999997</v>
      </c>
      <c r="Z24" s="103">
        <v>47.476394999999997</v>
      </c>
      <c r="AA24" s="103">
        <v>47.532589000000002</v>
      </c>
      <c r="AB24" s="103">
        <v>47.587336999999998</v>
      </c>
      <c r="AC24" s="103">
        <v>47.638404999999999</v>
      </c>
      <c r="AD24" s="103">
        <v>47.687835999999997</v>
      </c>
      <c r="AE24" s="103">
        <v>47.738838000000001</v>
      </c>
      <c r="AF24" s="103">
        <v>47.788406000000002</v>
      </c>
      <c r="AG24" s="90">
        <v>1.9E-2</v>
      </c>
    </row>
    <row r="25" spans="1:33">
      <c r="A25" s="87" t="s">
        <v>239</v>
      </c>
      <c r="B25" s="103">
        <v>27.658356000000001</v>
      </c>
      <c r="C25" s="103">
        <v>30.881644999999999</v>
      </c>
      <c r="D25" s="103">
        <v>33.617843999999998</v>
      </c>
      <c r="E25" s="103">
        <v>34.296348999999999</v>
      </c>
      <c r="F25" s="103">
        <v>35.154221</v>
      </c>
      <c r="G25" s="103">
        <v>36.443049999999999</v>
      </c>
      <c r="H25" s="103">
        <v>38.035972999999998</v>
      </c>
      <c r="I25" s="103">
        <v>39.615067000000003</v>
      </c>
      <c r="J25" s="103">
        <v>40.483275999999996</v>
      </c>
      <c r="K25" s="103">
        <v>42.142456000000003</v>
      </c>
      <c r="L25" s="103">
        <v>43.949348000000001</v>
      </c>
      <c r="M25" s="103">
        <v>45.929546000000002</v>
      </c>
      <c r="N25" s="103">
        <v>48.097453999999999</v>
      </c>
      <c r="O25" s="103">
        <v>50.476382999999998</v>
      </c>
      <c r="P25" s="103">
        <v>51.888053999999997</v>
      </c>
      <c r="Q25" s="103">
        <v>54.640770000000003</v>
      </c>
      <c r="R25" s="103">
        <v>54.646476999999997</v>
      </c>
      <c r="S25" s="103">
        <v>54.646476999999997</v>
      </c>
      <c r="T25" s="103">
        <v>54.646563999999998</v>
      </c>
      <c r="U25" s="103">
        <v>54.649391000000001</v>
      </c>
      <c r="V25" s="103">
        <v>54.649391000000001</v>
      </c>
      <c r="W25" s="103">
        <v>54.649391000000001</v>
      </c>
      <c r="X25" s="103">
        <v>54.649391000000001</v>
      </c>
      <c r="Y25" s="103">
        <v>54.655681999999999</v>
      </c>
      <c r="Z25" s="103">
        <v>54.655681999999999</v>
      </c>
      <c r="AA25" s="103">
        <v>54.656737999999997</v>
      </c>
      <c r="AB25" s="103">
        <v>54.656863999999999</v>
      </c>
      <c r="AC25" s="103">
        <v>54.656863999999999</v>
      </c>
      <c r="AD25" s="103">
        <v>54.656863999999999</v>
      </c>
      <c r="AE25" s="103">
        <v>54.658859</v>
      </c>
      <c r="AF25" s="103">
        <v>54.659289999999999</v>
      </c>
      <c r="AG25" s="90">
        <v>0.02</v>
      </c>
    </row>
    <row r="26" spans="1:33">
      <c r="A26" s="87" t="s">
        <v>240</v>
      </c>
      <c r="B26" s="103">
        <v>23.435628999999999</v>
      </c>
      <c r="C26" s="103">
        <v>24.643108000000002</v>
      </c>
      <c r="D26" s="103">
        <v>25.704260000000001</v>
      </c>
      <c r="E26" s="103">
        <v>26.344978000000001</v>
      </c>
      <c r="F26" s="103">
        <v>26.870885999999999</v>
      </c>
      <c r="G26" s="103">
        <v>27.845835000000001</v>
      </c>
      <c r="H26" s="103">
        <v>29.063632999999999</v>
      </c>
      <c r="I26" s="103">
        <v>29.105233999999999</v>
      </c>
      <c r="J26" s="103">
        <v>29.485800000000001</v>
      </c>
      <c r="K26" s="103">
        <v>29.930862000000001</v>
      </c>
      <c r="L26" s="103">
        <v>30.92709</v>
      </c>
      <c r="M26" s="103">
        <v>32.887371000000002</v>
      </c>
      <c r="N26" s="103">
        <v>34.321734999999997</v>
      </c>
      <c r="O26" s="103">
        <v>35.894835999999998</v>
      </c>
      <c r="P26" s="103">
        <v>37.598373000000002</v>
      </c>
      <c r="Q26" s="103">
        <v>39.455905999999999</v>
      </c>
      <c r="R26" s="103">
        <v>39.455952000000003</v>
      </c>
      <c r="S26" s="103">
        <v>39.456009000000002</v>
      </c>
      <c r="T26" s="103">
        <v>39.456017000000003</v>
      </c>
      <c r="U26" s="103">
        <v>39.456017000000003</v>
      </c>
      <c r="V26" s="103">
        <v>39.456020000000002</v>
      </c>
      <c r="W26" s="103">
        <v>39.456020000000002</v>
      </c>
      <c r="X26" s="103">
        <v>39.456020000000002</v>
      </c>
      <c r="Y26" s="103">
        <v>39.456020000000002</v>
      </c>
      <c r="Z26" s="103">
        <v>39.456020000000002</v>
      </c>
      <c r="AA26" s="103">
        <v>39.456020000000002</v>
      </c>
      <c r="AB26" s="103">
        <v>39.456020000000002</v>
      </c>
      <c r="AC26" s="103">
        <v>39.456020000000002</v>
      </c>
      <c r="AD26" s="103">
        <v>39.456020000000002</v>
      </c>
      <c r="AE26" s="103">
        <v>39.456020000000002</v>
      </c>
      <c r="AF26" s="103">
        <v>39.456020000000002</v>
      </c>
      <c r="AG26" s="90">
        <v>1.6E-2</v>
      </c>
    </row>
    <row r="27" spans="1:33">
      <c r="A27" s="87" t="s">
        <v>241</v>
      </c>
      <c r="B27" s="103">
        <v>31.780709999999999</v>
      </c>
      <c r="C27" s="103">
        <v>32.634953000000003</v>
      </c>
      <c r="D27" s="103">
        <v>32.520546000000003</v>
      </c>
      <c r="E27" s="103">
        <v>32.604858</v>
      </c>
      <c r="F27" s="103">
        <v>33.114426000000002</v>
      </c>
      <c r="G27" s="103">
        <v>33.38805</v>
      </c>
      <c r="H27" s="103">
        <v>33.849606000000001</v>
      </c>
      <c r="I27" s="103">
        <v>34.717731000000001</v>
      </c>
      <c r="J27" s="103">
        <v>35.496161999999998</v>
      </c>
      <c r="K27" s="103">
        <v>36.398018</v>
      </c>
      <c r="L27" s="103">
        <v>37.929546000000002</v>
      </c>
      <c r="M27" s="103">
        <v>39.837497999999997</v>
      </c>
      <c r="N27" s="103">
        <v>41.534945999999998</v>
      </c>
      <c r="O27" s="103">
        <v>43.565254000000003</v>
      </c>
      <c r="P27" s="103">
        <v>45.205826000000002</v>
      </c>
      <c r="Q27" s="103">
        <v>47.349487000000003</v>
      </c>
      <c r="R27" s="103">
        <v>47.527667999999998</v>
      </c>
      <c r="S27" s="103">
        <v>47.681601999999998</v>
      </c>
      <c r="T27" s="103">
        <v>47.863655000000001</v>
      </c>
      <c r="U27" s="103">
        <v>48.023758000000001</v>
      </c>
      <c r="V27" s="103">
        <v>48.163071000000002</v>
      </c>
      <c r="W27" s="103">
        <v>48.289520000000003</v>
      </c>
      <c r="X27" s="103">
        <v>48.386161999999999</v>
      </c>
      <c r="Y27" s="103">
        <v>48.499760000000002</v>
      </c>
      <c r="Z27" s="103">
        <v>48.583202</v>
      </c>
      <c r="AA27" s="103">
        <v>48.644736999999999</v>
      </c>
      <c r="AB27" s="103">
        <v>48.722244000000003</v>
      </c>
      <c r="AC27" s="103">
        <v>48.795108999999997</v>
      </c>
      <c r="AD27" s="103">
        <v>48.872127999999996</v>
      </c>
      <c r="AE27" s="103">
        <v>48.953113999999999</v>
      </c>
      <c r="AF27" s="103">
        <v>49.042377000000002</v>
      </c>
      <c r="AG27" s="90">
        <v>1.4E-2</v>
      </c>
    </row>
    <row r="28" spans="1:33">
      <c r="A28" s="87" t="s">
        <v>239</v>
      </c>
      <c r="B28" s="103">
        <v>36.126246999999999</v>
      </c>
      <c r="C28" s="103">
        <v>37.390011000000001</v>
      </c>
      <c r="D28" s="103">
        <v>36.679619000000002</v>
      </c>
      <c r="E28" s="103">
        <v>36.926796000000003</v>
      </c>
      <c r="F28" s="103">
        <v>37.568409000000003</v>
      </c>
      <c r="G28" s="103">
        <v>37.900528000000001</v>
      </c>
      <c r="H28" s="103">
        <v>38.607132</v>
      </c>
      <c r="I28" s="103">
        <v>40.077961000000002</v>
      </c>
      <c r="J28" s="103">
        <v>40.893036000000002</v>
      </c>
      <c r="K28" s="103">
        <v>42.564945000000002</v>
      </c>
      <c r="L28" s="103">
        <v>44.439776999999999</v>
      </c>
      <c r="M28" s="103">
        <v>46.440063000000002</v>
      </c>
      <c r="N28" s="103">
        <v>48.738182000000002</v>
      </c>
      <c r="O28" s="103">
        <v>51.308193000000003</v>
      </c>
      <c r="P28" s="103">
        <v>52.549605999999997</v>
      </c>
      <c r="Q28" s="103">
        <v>55.044086</v>
      </c>
      <c r="R28" s="103">
        <v>55.433128000000004</v>
      </c>
      <c r="S28" s="103">
        <v>55.419761999999999</v>
      </c>
      <c r="T28" s="103">
        <v>55.489055999999998</v>
      </c>
      <c r="U28" s="103">
        <v>55.556755000000003</v>
      </c>
      <c r="V28" s="103">
        <v>55.622723000000001</v>
      </c>
      <c r="W28" s="103">
        <v>55.701816999999998</v>
      </c>
      <c r="X28" s="103">
        <v>55.738041000000003</v>
      </c>
      <c r="Y28" s="103">
        <v>55.793982999999997</v>
      </c>
      <c r="Z28" s="103">
        <v>55.835293</v>
      </c>
      <c r="AA28" s="103">
        <v>55.855457000000001</v>
      </c>
      <c r="AB28" s="103">
        <v>55.906647</v>
      </c>
      <c r="AC28" s="103">
        <v>55.955505000000002</v>
      </c>
      <c r="AD28" s="103">
        <v>56.011082000000002</v>
      </c>
      <c r="AE28" s="103">
        <v>56.068851000000002</v>
      </c>
      <c r="AF28" s="103">
        <v>56.139622000000003</v>
      </c>
      <c r="AG28" s="90">
        <v>1.4E-2</v>
      </c>
    </row>
    <row r="29" spans="1:33">
      <c r="A29" s="87" t="s">
        <v>240</v>
      </c>
      <c r="B29" s="103">
        <v>28.077483999999998</v>
      </c>
      <c r="C29" s="103">
        <v>28.493435000000002</v>
      </c>
      <c r="D29" s="103">
        <v>28.718876000000002</v>
      </c>
      <c r="E29" s="103">
        <v>28.803314</v>
      </c>
      <c r="F29" s="103">
        <v>29.224882000000001</v>
      </c>
      <c r="G29" s="103">
        <v>29.460647999999999</v>
      </c>
      <c r="H29" s="103">
        <v>29.693322999999999</v>
      </c>
      <c r="I29" s="103">
        <v>30.066837</v>
      </c>
      <c r="J29" s="103">
        <v>30.731241000000001</v>
      </c>
      <c r="K29" s="103">
        <v>30.940982999999999</v>
      </c>
      <c r="L29" s="103">
        <v>32.042645</v>
      </c>
      <c r="M29" s="103">
        <v>33.770325</v>
      </c>
      <c r="N29" s="103">
        <v>34.941006000000002</v>
      </c>
      <c r="O29" s="103">
        <v>36.475876</v>
      </c>
      <c r="P29" s="103">
        <v>38.269379000000001</v>
      </c>
      <c r="Q29" s="103">
        <v>40.012276</v>
      </c>
      <c r="R29" s="103">
        <v>40.053375000000003</v>
      </c>
      <c r="S29" s="103">
        <v>40.124668</v>
      </c>
      <c r="T29" s="103">
        <v>40.201175999999997</v>
      </c>
      <c r="U29" s="103">
        <v>40.274441000000003</v>
      </c>
      <c r="V29" s="103">
        <v>40.336750000000002</v>
      </c>
      <c r="W29" s="103">
        <v>40.383338999999999</v>
      </c>
      <c r="X29" s="103">
        <v>40.421078000000001</v>
      </c>
      <c r="Y29" s="103">
        <v>40.449916999999999</v>
      </c>
      <c r="Z29" s="103">
        <v>40.452385</v>
      </c>
      <c r="AA29" s="103">
        <v>40.444958</v>
      </c>
      <c r="AB29" s="103">
        <v>40.441710999999998</v>
      </c>
      <c r="AC29" s="103">
        <v>40.438037999999999</v>
      </c>
      <c r="AD29" s="103">
        <v>40.438557000000003</v>
      </c>
      <c r="AE29" s="103">
        <v>40.442608</v>
      </c>
      <c r="AF29" s="103">
        <v>40.451084000000002</v>
      </c>
      <c r="AG29" s="90">
        <v>1.2E-2</v>
      </c>
    </row>
    <row r="30" spans="1:33">
      <c r="A30" s="87" t="s">
        <v>242</v>
      </c>
      <c r="B30" s="103">
        <v>30.84938</v>
      </c>
      <c r="C30" s="103">
        <v>31.503447000000001</v>
      </c>
      <c r="D30" s="103">
        <v>31.769220000000001</v>
      </c>
      <c r="E30" s="103">
        <v>31.768253000000001</v>
      </c>
      <c r="F30" s="103">
        <v>32.271698000000001</v>
      </c>
      <c r="G30" s="103">
        <v>32.667403999999998</v>
      </c>
      <c r="H30" s="103">
        <v>33.246647000000003</v>
      </c>
      <c r="I30" s="103">
        <v>34.230525999999998</v>
      </c>
      <c r="J30" s="103">
        <v>35.133308</v>
      </c>
      <c r="K30" s="103">
        <v>36.166344000000002</v>
      </c>
      <c r="L30" s="103">
        <v>37.902057999999997</v>
      </c>
      <c r="M30" s="103">
        <v>39.808762000000002</v>
      </c>
      <c r="N30" s="103">
        <v>41.504669</v>
      </c>
      <c r="O30" s="103">
        <v>43.534077000000003</v>
      </c>
      <c r="P30" s="103">
        <v>45.173622000000002</v>
      </c>
      <c r="Q30" s="103">
        <v>47.315441</v>
      </c>
      <c r="R30" s="103">
        <v>47.492893000000002</v>
      </c>
      <c r="S30" s="103">
        <v>47.646515000000001</v>
      </c>
      <c r="T30" s="103">
        <v>47.828235999999997</v>
      </c>
      <c r="U30" s="103">
        <v>47.987999000000002</v>
      </c>
      <c r="V30" s="103">
        <v>48.126674999999999</v>
      </c>
      <c r="W30" s="103">
        <v>48.252464000000003</v>
      </c>
      <c r="X30" s="103">
        <v>48.348247999999998</v>
      </c>
      <c r="Y30" s="103">
        <v>48.460780999999997</v>
      </c>
      <c r="Z30" s="103">
        <v>48.543148000000002</v>
      </c>
      <c r="AA30" s="103">
        <v>48.603282999999998</v>
      </c>
      <c r="AB30" s="103">
        <v>48.679229999999997</v>
      </c>
      <c r="AC30" s="103">
        <v>48.750534000000002</v>
      </c>
      <c r="AD30" s="103">
        <v>48.825817000000001</v>
      </c>
      <c r="AE30" s="103">
        <v>48.904727999999999</v>
      </c>
      <c r="AF30" s="103">
        <v>48.991753000000003</v>
      </c>
      <c r="AG30" s="90">
        <v>1.4999999999999999E-2</v>
      </c>
    </row>
    <row r="31" spans="1:33">
      <c r="A31" s="87" t="s">
        <v>239</v>
      </c>
      <c r="B31" s="103">
        <v>35.657597000000003</v>
      </c>
      <c r="C31" s="103">
        <v>36.437336000000002</v>
      </c>
      <c r="D31" s="103">
        <v>36.642558999999999</v>
      </c>
      <c r="E31" s="103">
        <v>36.706718000000002</v>
      </c>
      <c r="F31" s="103">
        <v>37.340614000000002</v>
      </c>
      <c r="G31" s="103">
        <v>37.670558999999997</v>
      </c>
      <c r="H31" s="103">
        <v>38.367778999999999</v>
      </c>
      <c r="I31" s="103">
        <v>39.831623</v>
      </c>
      <c r="J31" s="103">
        <v>40.645251999999999</v>
      </c>
      <c r="K31" s="103">
        <v>42.341937999999999</v>
      </c>
      <c r="L31" s="103">
        <v>44.417534000000003</v>
      </c>
      <c r="M31" s="103">
        <v>46.417037999999998</v>
      </c>
      <c r="N31" s="103">
        <v>48.714652999999998</v>
      </c>
      <c r="O31" s="103">
        <v>51.283306000000003</v>
      </c>
      <c r="P31" s="103">
        <v>52.523727000000001</v>
      </c>
      <c r="Q31" s="103">
        <v>55.016922000000001</v>
      </c>
      <c r="R31" s="103">
        <v>55.405650999999999</v>
      </c>
      <c r="S31" s="103">
        <v>55.391876000000003</v>
      </c>
      <c r="T31" s="103">
        <v>55.460971999999998</v>
      </c>
      <c r="U31" s="103">
        <v>55.528464999999997</v>
      </c>
      <c r="V31" s="103">
        <v>55.594135000000001</v>
      </c>
      <c r="W31" s="103">
        <v>55.672950999999998</v>
      </c>
      <c r="X31" s="103">
        <v>55.708610999999998</v>
      </c>
      <c r="Y31" s="103">
        <v>55.763930999999999</v>
      </c>
      <c r="Z31" s="103">
        <v>55.804363000000002</v>
      </c>
      <c r="AA31" s="103">
        <v>55.823666000000003</v>
      </c>
      <c r="AB31" s="103">
        <v>55.873905000000001</v>
      </c>
      <c r="AC31" s="103">
        <v>55.921711000000002</v>
      </c>
      <c r="AD31" s="103">
        <v>55.976170000000003</v>
      </c>
      <c r="AE31" s="103">
        <v>56.032660999999997</v>
      </c>
      <c r="AF31" s="103">
        <v>56.101985999999997</v>
      </c>
      <c r="AG31" s="90">
        <v>1.4999999999999999E-2</v>
      </c>
    </row>
    <row r="32" spans="1:33">
      <c r="A32" s="87" t="s">
        <v>240</v>
      </c>
      <c r="B32" s="103">
        <v>26.875692000000001</v>
      </c>
      <c r="C32" s="103">
        <v>27.281386999999999</v>
      </c>
      <c r="D32" s="103">
        <v>27.499485</v>
      </c>
      <c r="E32" s="103">
        <v>27.583447</v>
      </c>
      <c r="F32" s="103">
        <v>28.004169000000001</v>
      </c>
      <c r="G32" s="103">
        <v>28.438381</v>
      </c>
      <c r="H32" s="103">
        <v>28.869675000000001</v>
      </c>
      <c r="I32" s="103">
        <v>29.442177000000001</v>
      </c>
      <c r="J32" s="103">
        <v>30.305029000000001</v>
      </c>
      <c r="K32" s="103">
        <v>30.713284000000002</v>
      </c>
      <c r="L32" s="103">
        <v>32.012931999999999</v>
      </c>
      <c r="M32" s="103">
        <v>33.738976000000001</v>
      </c>
      <c r="N32" s="103">
        <v>34.907665000000001</v>
      </c>
      <c r="O32" s="103">
        <v>36.442073999999998</v>
      </c>
      <c r="P32" s="103">
        <v>38.234169000000001</v>
      </c>
      <c r="Q32" s="103">
        <v>39.974915000000003</v>
      </c>
      <c r="R32" s="103">
        <v>40.015141</v>
      </c>
      <c r="S32" s="103">
        <v>40.086029000000003</v>
      </c>
      <c r="T32" s="103">
        <v>40.161987000000003</v>
      </c>
      <c r="U32" s="103">
        <v>40.234698999999999</v>
      </c>
      <c r="V32" s="103">
        <v>40.296042999999997</v>
      </c>
      <c r="W32" s="103">
        <v>40.341628999999998</v>
      </c>
      <c r="X32" s="103">
        <v>40.378219999999999</v>
      </c>
      <c r="Y32" s="103">
        <v>40.405579000000003</v>
      </c>
      <c r="Z32" s="103">
        <v>40.406773000000001</v>
      </c>
      <c r="AA32" s="103">
        <v>40.397483999999999</v>
      </c>
      <c r="AB32" s="103">
        <v>40.392166000000003</v>
      </c>
      <c r="AC32" s="103">
        <v>40.386501000000003</v>
      </c>
      <c r="AD32" s="103">
        <v>40.384757999999998</v>
      </c>
      <c r="AE32" s="103">
        <v>40.386054999999999</v>
      </c>
      <c r="AF32" s="103">
        <v>40.391624</v>
      </c>
      <c r="AG32" s="90">
        <v>1.4E-2</v>
      </c>
    </row>
    <row r="33" spans="1:33">
      <c r="A33" s="87" t="s">
        <v>243</v>
      </c>
      <c r="B33" s="103">
        <v>24.919432</v>
      </c>
      <c r="C33" s="103">
        <v>25.452221000000002</v>
      </c>
      <c r="D33" s="103">
        <v>25.669985</v>
      </c>
      <c r="E33" s="103">
        <v>25.664899999999999</v>
      </c>
      <c r="F33" s="103">
        <v>26.070772000000002</v>
      </c>
      <c r="G33" s="103">
        <v>26.390972000000001</v>
      </c>
      <c r="H33" s="103">
        <v>26.860423999999998</v>
      </c>
      <c r="I33" s="103">
        <v>27.655346000000002</v>
      </c>
      <c r="J33" s="103">
        <v>28.388193000000001</v>
      </c>
      <c r="K33" s="103">
        <v>29.224074999999999</v>
      </c>
      <c r="L33" s="103">
        <v>30.630222</v>
      </c>
      <c r="M33" s="103">
        <v>32.173729000000002</v>
      </c>
      <c r="N33" s="103">
        <v>33.543709</v>
      </c>
      <c r="O33" s="103">
        <v>35.183898999999997</v>
      </c>
      <c r="P33" s="103">
        <v>36.514716999999997</v>
      </c>
      <c r="Q33" s="103">
        <v>38.247829000000003</v>
      </c>
      <c r="R33" s="103">
        <v>38.389614000000002</v>
      </c>
      <c r="S33" s="103">
        <v>38.520096000000002</v>
      </c>
      <c r="T33" s="103">
        <v>38.672604</v>
      </c>
      <c r="U33" s="103">
        <v>38.806384999999999</v>
      </c>
      <c r="V33" s="103">
        <v>38.922404999999998</v>
      </c>
      <c r="W33" s="103">
        <v>39.027393000000004</v>
      </c>
      <c r="X33" s="103">
        <v>39.107940999999997</v>
      </c>
      <c r="Y33" s="103">
        <v>39.202624999999998</v>
      </c>
      <c r="Z33" s="103">
        <v>39.272385</v>
      </c>
      <c r="AA33" s="103">
        <v>39.323841000000002</v>
      </c>
      <c r="AB33" s="103">
        <v>39.387954999999998</v>
      </c>
      <c r="AC33" s="103">
        <v>39.448135000000001</v>
      </c>
      <c r="AD33" s="103">
        <v>39.511456000000003</v>
      </c>
      <c r="AE33" s="103">
        <v>39.577762999999997</v>
      </c>
      <c r="AF33" s="103">
        <v>39.650581000000003</v>
      </c>
      <c r="AG33" s="90">
        <v>1.4999999999999999E-2</v>
      </c>
    </row>
    <row r="34" spans="1:33">
      <c r="A34" s="87" t="s">
        <v>239</v>
      </c>
      <c r="B34" s="103">
        <v>29.126014999999999</v>
      </c>
      <c r="C34" s="103">
        <v>29.762926</v>
      </c>
      <c r="D34" s="103">
        <v>29.930557</v>
      </c>
      <c r="E34" s="103">
        <v>29.982963999999999</v>
      </c>
      <c r="F34" s="103">
        <v>30.500745999999999</v>
      </c>
      <c r="G34" s="103">
        <v>30.770254000000001</v>
      </c>
      <c r="H34" s="103">
        <v>31.339759999999998</v>
      </c>
      <c r="I34" s="103">
        <v>32.535465000000002</v>
      </c>
      <c r="J34" s="103">
        <v>33.200057999999999</v>
      </c>
      <c r="K34" s="103">
        <v>34.585953000000003</v>
      </c>
      <c r="L34" s="103">
        <v>36.281348999999999</v>
      </c>
      <c r="M34" s="103">
        <v>37.914597000000001</v>
      </c>
      <c r="N34" s="103">
        <v>39.791344000000002</v>
      </c>
      <c r="O34" s="103">
        <v>41.889484000000003</v>
      </c>
      <c r="P34" s="103">
        <v>42.902690999999997</v>
      </c>
      <c r="Q34" s="103">
        <v>44.939197999999998</v>
      </c>
      <c r="R34" s="103">
        <v>45.256717999999999</v>
      </c>
      <c r="S34" s="103">
        <v>45.245468000000002</v>
      </c>
      <c r="T34" s="103">
        <v>45.301907</v>
      </c>
      <c r="U34" s="103">
        <v>45.357036999999998</v>
      </c>
      <c r="V34" s="103">
        <v>45.410679000000002</v>
      </c>
      <c r="W34" s="103">
        <v>45.475056000000002</v>
      </c>
      <c r="X34" s="103">
        <v>45.504185</v>
      </c>
      <c r="Y34" s="103">
        <v>45.549370000000003</v>
      </c>
      <c r="Z34" s="103">
        <v>45.582397</v>
      </c>
      <c r="AA34" s="103">
        <v>45.598163999999997</v>
      </c>
      <c r="AB34" s="103">
        <v>45.639201999999997</v>
      </c>
      <c r="AC34" s="103">
        <v>45.678249000000001</v>
      </c>
      <c r="AD34" s="103">
        <v>45.722732999999998</v>
      </c>
      <c r="AE34" s="103">
        <v>45.768878999999998</v>
      </c>
      <c r="AF34" s="103">
        <v>45.825504000000002</v>
      </c>
      <c r="AG34" s="90">
        <v>1.4999999999999999E-2</v>
      </c>
    </row>
    <row r="35" spans="1:33">
      <c r="A35" s="87" t="s">
        <v>240</v>
      </c>
      <c r="B35" s="103">
        <v>21.512650000000001</v>
      </c>
      <c r="C35" s="103">
        <v>21.837387</v>
      </c>
      <c r="D35" s="103">
        <v>22.011963000000002</v>
      </c>
      <c r="E35" s="103">
        <v>22.079170000000001</v>
      </c>
      <c r="F35" s="103">
        <v>22.415937</v>
      </c>
      <c r="G35" s="103">
        <v>22.763501999999999</v>
      </c>
      <c r="H35" s="103">
        <v>23.108732</v>
      </c>
      <c r="I35" s="103">
        <v>23.566991999999999</v>
      </c>
      <c r="J35" s="103">
        <v>24.257662</v>
      </c>
      <c r="K35" s="103">
        <v>24.584447999999998</v>
      </c>
      <c r="L35" s="103">
        <v>25.624752000000001</v>
      </c>
      <c r="M35" s="103">
        <v>27.006364999999999</v>
      </c>
      <c r="N35" s="103">
        <v>27.941841</v>
      </c>
      <c r="O35" s="103">
        <v>29.170058999999998</v>
      </c>
      <c r="P35" s="103">
        <v>30.604541999999999</v>
      </c>
      <c r="Q35" s="103">
        <v>31.997921000000002</v>
      </c>
      <c r="R35" s="103">
        <v>32.030121000000001</v>
      </c>
      <c r="S35" s="103">
        <v>32.086863999999998</v>
      </c>
      <c r="T35" s="103">
        <v>32.147663000000001</v>
      </c>
      <c r="U35" s="103">
        <v>32.205868000000002</v>
      </c>
      <c r="V35" s="103">
        <v>32.254970999999998</v>
      </c>
      <c r="W35" s="103">
        <v>32.291457999999999</v>
      </c>
      <c r="X35" s="103">
        <v>32.320746999999997</v>
      </c>
      <c r="Y35" s="103">
        <v>32.342647999999997</v>
      </c>
      <c r="Z35" s="103">
        <v>32.343601</v>
      </c>
      <c r="AA35" s="103">
        <v>32.336165999999999</v>
      </c>
      <c r="AB35" s="103">
        <v>32.331909000000003</v>
      </c>
      <c r="AC35" s="103">
        <v>32.327376999999998</v>
      </c>
      <c r="AD35" s="103">
        <v>32.325980999999999</v>
      </c>
      <c r="AE35" s="103">
        <v>32.327019</v>
      </c>
      <c r="AF35" s="103">
        <v>32.331477999999997</v>
      </c>
      <c r="AG35" s="90">
        <v>1.4E-2</v>
      </c>
    </row>
    <row r="36" spans="1:33">
      <c r="A36" s="87" t="s">
        <v>245</v>
      </c>
      <c r="B36" s="103">
        <v>18.244133000000001</v>
      </c>
      <c r="C36" s="103">
        <v>18.145592000000001</v>
      </c>
      <c r="D36" s="103">
        <v>18.099609000000001</v>
      </c>
      <c r="E36" s="103">
        <v>18.090758999999998</v>
      </c>
      <c r="F36" s="103">
        <v>18.218658000000001</v>
      </c>
      <c r="G36" s="103">
        <v>18.364162</v>
      </c>
      <c r="H36" s="103">
        <v>18.559175</v>
      </c>
      <c r="I36" s="103">
        <v>18.825538999999999</v>
      </c>
      <c r="J36" s="103">
        <v>19.230889999999999</v>
      </c>
      <c r="K36" s="103">
        <v>19.413975000000001</v>
      </c>
      <c r="L36" s="103">
        <v>19.994122000000001</v>
      </c>
      <c r="M36" s="103">
        <v>20.809078</v>
      </c>
      <c r="N36" s="103">
        <v>21.348932000000001</v>
      </c>
      <c r="O36" s="103">
        <v>22.092272000000001</v>
      </c>
      <c r="P36" s="103">
        <v>23.003717000000002</v>
      </c>
      <c r="Q36" s="103">
        <v>23.909884999999999</v>
      </c>
      <c r="R36" s="103">
        <v>23.928885000000001</v>
      </c>
      <c r="S36" s="103">
        <v>23.97954</v>
      </c>
      <c r="T36" s="103">
        <v>24.030424</v>
      </c>
      <c r="U36" s="103">
        <v>24.080590999999998</v>
      </c>
      <c r="V36" s="103">
        <v>24.124068999999999</v>
      </c>
      <c r="W36" s="103">
        <v>24.162842000000001</v>
      </c>
      <c r="X36" s="103">
        <v>24.196783</v>
      </c>
      <c r="Y36" s="103">
        <v>24.225629999999999</v>
      </c>
      <c r="Z36" s="103">
        <v>24.233768000000001</v>
      </c>
      <c r="AA36" s="103">
        <v>24.226137000000001</v>
      </c>
      <c r="AB36" s="103">
        <v>24.220089000000002</v>
      </c>
      <c r="AC36" s="103">
        <v>24.213766</v>
      </c>
      <c r="AD36" s="103">
        <v>24.206306000000001</v>
      </c>
      <c r="AE36" s="103">
        <v>24.201231</v>
      </c>
      <c r="AF36" s="103">
        <v>24.199096999999998</v>
      </c>
      <c r="AG36" s="90">
        <v>0.01</v>
      </c>
    </row>
    <row r="37" spans="1:33" s="41" customFormat="1">
      <c r="A37" s="112" t="s">
        <v>244</v>
      </c>
      <c r="B37" s="113">
        <v>20.945571999999999</v>
      </c>
      <c r="C37" s="113">
        <v>20.562930999999999</v>
      </c>
      <c r="D37" s="113">
        <v>20.887695000000001</v>
      </c>
      <c r="E37" s="113">
        <v>21.218078999999999</v>
      </c>
      <c r="F37" s="113">
        <v>21.571434</v>
      </c>
      <c r="G37" s="113">
        <v>21.939333000000001</v>
      </c>
      <c r="H37" s="113">
        <v>22.317018999999998</v>
      </c>
      <c r="I37" s="113">
        <v>22.724972000000001</v>
      </c>
      <c r="J37" s="113">
        <v>23.141386000000001</v>
      </c>
      <c r="K37" s="113">
        <v>23.588305999999999</v>
      </c>
      <c r="L37" s="113">
        <v>24.082304000000001</v>
      </c>
      <c r="M37" s="113">
        <v>24.672367000000001</v>
      </c>
      <c r="N37" s="113">
        <v>25.309034</v>
      </c>
      <c r="O37" s="113">
        <v>26.006105000000002</v>
      </c>
      <c r="P37" s="113">
        <v>26.752558000000001</v>
      </c>
      <c r="Q37" s="113">
        <v>27.559494000000001</v>
      </c>
      <c r="R37" s="113">
        <v>28.357617999999999</v>
      </c>
      <c r="S37" s="113">
        <v>29.138211999999999</v>
      </c>
      <c r="T37" s="113">
        <v>29.896591000000001</v>
      </c>
      <c r="U37" s="113">
        <v>30.626761999999999</v>
      </c>
      <c r="V37" s="113">
        <v>31.328613000000001</v>
      </c>
      <c r="W37" s="113">
        <v>31.992211999999999</v>
      </c>
      <c r="X37" s="113">
        <v>32.616936000000003</v>
      </c>
      <c r="Y37" s="113">
        <v>33.196460999999999</v>
      </c>
      <c r="Z37" s="113">
        <v>33.731991000000001</v>
      </c>
      <c r="AA37" s="113">
        <v>34.229022999999998</v>
      </c>
      <c r="AB37" s="113">
        <v>34.677810999999998</v>
      </c>
      <c r="AC37" s="113">
        <v>35.088593000000003</v>
      </c>
      <c r="AD37" s="113">
        <v>35.461185</v>
      </c>
      <c r="AE37" s="113">
        <v>35.797027999999997</v>
      </c>
      <c r="AF37" s="113">
        <v>36.098861999999997</v>
      </c>
      <c r="AG37" s="114">
        <v>0.02</v>
      </c>
    </row>
    <row r="38" spans="1:33" s="41" customFormat="1">
      <c r="A38" s="112" t="s">
        <v>246</v>
      </c>
      <c r="B38" s="113">
        <v>14.638845</v>
      </c>
      <c r="C38" s="113">
        <v>14.897622</v>
      </c>
      <c r="D38" s="113">
        <v>15.172584000000001</v>
      </c>
      <c r="E38" s="113">
        <v>15.461891</v>
      </c>
      <c r="F38" s="113">
        <v>15.770160000000001</v>
      </c>
      <c r="G38" s="113">
        <v>16.094093000000001</v>
      </c>
      <c r="H38" s="113">
        <v>16.432085000000001</v>
      </c>
      <c r="I38" s="113">
        <v>16.782433000000001</v>
      </c>
      <c r="J38" s="113">
        <v>17.134975000000001</v>
      </c>
      <c r="K38" s="113">
        <v>17.489858999999999</v>
      </c>
      <c r="L38" s="113">
        <v>17.868901999999999</v>
      </c>
      <c r="M38" s="113">
        <v>18.283445</v>
      </c>
      <c r="N38" s="113">
        <v>18.711748</v>
      </c>
      <c r="O38" s="113">
        <v>19.15699</v>
      </c>
      <c r="P38" s="113">
        <v>19.627573000000002</v>
      </c>
      <c r="Q38" s="113">
        <v>20.125897999999999</v>
      </c>
      <c r="R38" s="113">
        <v>20.596706000000001</v>
      </c>
      <c r="S38" s="113">
        <v>21.033843999999998</v>
      </c>
      <c r="T38" s="113">
        <v>21.446494999999999</v>
      </c>
      <c r="U38" s="113">
        <v>21.828821000000001</v>
      </c>
      <c r="V38" s="113">
        <v>22.18121</v>
      </c>
      <c r="W38" s="113">
        <v>22.507442000000001</v>
      </c>
      <c r="X38" s="113">
        <v>22.806882999999999</v>
      </c>
      <c r="Y38" s="113">
        <v>23.075417000000002</v>
      </c>
      <c r="Z38" s="113">
        <v>23.310452000000002</v>
      </c>
      <c r="AA38" s="113">
        <v>23.51511</v>
      </c>
      <c r="AB38" s="113">
        <v>23.687971000000001</v>
      </c>
      <c r="AC38" s="113">
        <v>23.829526999999999</v>
      </c>
      <c r="AD38" s="113">
        <v>23.940636000000001</v>
      </c>
      <c r="AE38" s="113">
        <v>24.024740000000001</v>
      </c>
      <c r="AF38" s="113">
        <v>24.085999000000001</v>
      </c>
      <c r="AG38" s="114">
        <v>1.7000000000000001E-2</v>
      </c>
    </row>
    <row r="39" spans="1:33" s="41" customFormat="1">
      <c r="A39" s="112" t="s">
        <v>247</v>
      </c>
      <c r="B39" s="113">
        <v>6.6612799999999996</v>
      </c>
      <c r="C39" s="113">
        <v>6.6740969999999997</v>
      </c>
      <c r="D39" s="113">
        <v>6.6708660000000002</v>
      </c>
      <c r="E39" s="113">
        <v>6.6636819999999997</v>
      </c>
      <c r="F39" s="113">
        <v>6.7366739999999998</v>
      </c>
      <c r="G39" s="113">
        <v>6.8233959999999998</v>
      </c>
      <c r="H39" s="113">
        <v>6.9203000000000001</v>
      </c>
      <c r="I39" s="113">
        <v>7.0251570000000001</v>
      </c>
      <c r="J39" s="113">
        <v>7.1304850000000002</v>
      </c>
      <c r="K39" s="113">
        <v>7.2330139999999998</v>
      </c>
      <c r="L39" s="113">
        <v>7.3288169999999999</v>
      </c>
      <c r="M39" s="113">
        <v>7.4177220000000004</v>
      </c>
      <c r="N39" s="113">
        <v>7.4994670000000001</v>
      </c>
      <c r="O39" s="113">
        <v>7.575189</v>
      </c>
      <c r="P39" s="113">
        <v>7.6454279999999999</v>
      </c>
      <c r="Q39" s="113">
        <v>7.710178</v>
      </c>
      <c r="R39" s="113">
        <v>7.771388</v>
      </c>
      <c r="S39" s="113">
        <v>7.828614</v>
      </c>
      <c r="T39" s="113">
        <v>7.8833799999999998</v>
      </c>
      <c r="U39" s="113">
        <v>7.9335839999999997</v>
      </c>
      <c r="V39" s="113">
        <v>7.9767279999999996</v>
      </c>
      <c r="W39" s="113">
        <v>8.0125100000000007</v>
      </c>
      <c r="X39" s="113">
        <v>8.0427769999999992</v>
      </c>
      <c r="Y39" s="113">
        <v>8.0700109999999992</v>
      </c>
      <c r="Z39" s="113">
        <v>8.0914330000000003</v>
      </c>
      <c r="AA39" s="113">
        <v>8.1077840000000005</v>
      </c>
      <c r="AB39" s="113">
        <v>8.1209030000000002</v>
      </c>
      <c r="AC39" s="113">
        <v>8.1303280000000004</v>
      </c>
      <c r="AD39" s="113">
        <v>8.1382010000000005</v>
      </c>
      <c r="AE39" s="113">
        <v>8.1456990000000005</v>
      </c>
      <c r="AF39" s="113">
        <v>8.1511960000000006</v>
      </c>
      <c r="AG39" s="114">
        <v>7.0000000000000001E-3</v>
      </c>
    </row>
    <row r="40" spans="1:33">
      <c r="A40" s="89" t="s">
        <v>248</v>
      </c>
    </row>
    <row r="41" spans="1:33">
      <c r="A41" s="87" t="s">
        <v>249</v>
      </c>
      <c r="B41" s="103">
        <v>62.299999</v>
      </c>
      <c r="C41" s="103">
        <v>62.299999</v>
      </c>
      <c r="D41" s="103">
        <v>62.427836999999997</v>
      </c>
      <c r="E41" s="103">
        <v>62.551979000000003</v>
      </c>
      <c r="F41" s="103">
        <v>62.690562999999997</v>
      </c>
      <c r="G41" s="103">
        <v>62.835079</v>
      </c>
      <c r="H41" s="103">
        <v>62.993060999999997</v>
      </c>
      <c r="I41" s="103">
        <v>63.175282000000003</v>
      </c>
      <c r="J41" s="103">
        <v>63.385238999999999</v>
      </c>
      <c r="K41" s="103">
        <v>63.611198000000002</v>
      </c>
      <c r="L41" s="103">
        <v>63.856625000000001</v>
      </c>
      <c r="M41" s="103">
        <v>64.077194000000006</v>
      </c>
      <c r="N41" s="103">
        <v>64.316451999999998</v>
      </c>
      <c r="O41" s="103">
        <v>64.572174000000004</v>
      </c>
      <c r="P41" s="103">
        <v>64.870636000000005</v>
      </c>
      <c r="Q41" s="103">
        <v>65.168991000000005</v>
      </c>
      <c r="R41" s="103">
        <v>65.490798999999996</v>
      </c>
      <c r="S41" s="103">
        <v>65.840332000000004</v>
      </c>
      <c r="T41" s="103">
        <v>66.205353000000002</v>
      </c>
      <c r="U41" s="103">
        <v>66.596892999999994</v>
      </c>
      <c r="V41" s="103">
        <v>67.002914000000004</v>
      </c>
      <c r="W41" s="103">
        <v>67.418564000000003</v>
      </c>
      <c r="X41" s="103">
        <v>67.846496999999999</v>
      </c>
      <c r="Y41" s="103">
        <v>68.290053999999998</v>
      </c>
      <c r="Z41" s="103">
        <v>68.750534000000002</v>
      </c>
      <c r="AA41" s="103">
        <v>69.222808999999998</v>
      </c>
      <c r="AB41" s="103">
        <v>69.688598999999996</v>
      </c>
      <c r="AC41" s="103">
        <v>70.152527000000006</v>
      </c>
      <c r="AD41" s="103">
        <v>70.613219999999998</v>
      </c>
      <c r="AE41" s="103">
        <v>71.071487000000005</v>
      </c>
      <c r="AF41" s="103">
        <v>71.521941999999996</v>
      </c>
      <c r="AG41" s="90">
        <v>5.0000000000000001E-3</v>
      </c>
    </row>
    <row r="42" spans="1:33">
      <c r="A42" s="89" t="s">
        <v>250</v>
      </c>
    </row>
    <row r="43" spans="1:33">
      <c r="A43" s="87" t="s">
        <v>234</v>
      </c>
      <c r="B43" s="103">
        <v>3.4398659999999999</v>
      </c>
      <c r="C43" s="103">
        <v>3.4433090000000002</v>
      </c>
      <c r="D43" s="103">
        <v>3.4467560000000002</v>
      </c>
      <c r="E43" s="103">
        <v>3.4502060000000001</v>
      </c>
      <c r="F43" s="103">
        <v>3.4536600000000002</v>
      </c>
      <c r="G43" s="103">
        <v>3.4571170000000002</v>
      </c>
      <c r="H43" s="103">
        <v>3.4605779999999999</v>
      </c>
      <c r="I43" s="103">
        <v>3.4640420000000001</v>
      </c>
      <c r="J43" s="103">
        <v>3.4675090000000002</v>
      </c>
      <c r="K43" s="103">
        <v>3.47098</v>
      </c>
      <c r="L43" s="103">
        <v>3.4744549999999998</v>
      </c>
      <c r="M43" s="103">
        <v>3.477932</v>
      </c>
      <c r="N43" s="103">
        <v>3.481414</v>
      </c>
      <c r="O43" s="103">
        <v>3.484899</v>
      </c>
      <c r="P43" s="103">
        <v>3.4883869999999999</v>
      </c>
      <c r="Q43" s="103">
        <v>3.491879</v>
      </c>
      <c r="R43" s="103">
        <v>3.4953750000000001</v>
      </c>
      <c r="S43" s="103">
        <v>3.4988730000000001</v>
      </c>
      <c r="T43" s="103">
        <v>3.5023759999999999</v>
      </c>
      <c r="U43" s="103">
        <v>3.5058820000000002</v>
      </c>
      <c r="V43" s="103">
        <v>3.5093909999999999</v>
      </c>
      <c r="W43" s="103">
        <v>3.5129039999999998</v>
      </c>
      <c r="X43" s="103">
        <v>3.5164200000000001</v>
      </c>
      <c r="Y43" s="103">
        <v>3.5199400000000001</v>
      </c>
      <c r="Z43" s="103">
        <v>3.5234640000000002</v>
      </c>
      <c r="AA43" s="103">
        <v>3.5269910000000002</v>
      </c>
      <c r="AB43" s="103">
        <v>3.5305209999999998</v>
      </c>
      <c r="AC43" s="103">
        <v>3.5340549999999999</v>
      </c>
      <c r="AD43" s="103">
        <v>3.5375930000000002</v>
      </c>
      <c r="AE43" s="103">
        <v>3.541134</v>
      </c>
      <c r="AF43" s="103">
        <v>3.5446789999999999</v>
      </c>
      <c r="AG43" s="90">
        <v>1E-3</v>
      </c>
    </row>
    <row r="44" spans="1:33">
      <c r="A44" s="87" t="s">
        <v>235</v>
      </c>
      <c r="B44" s="103">
        <v>2.401942</v>
      </c>
      <c r="C44" s="103">
        <v>2.4067560000000001</v>
      </c>
      <c r="D44" s="103">
        <v>2.4115790000000001</v>
      </c>
      <c r="E44" s="103">
        <v>2.4164119999999998</v>
      </c>
      <c r="F44" s="103">
        <v>2.4212549999999999</v>
      </c>
      <c r="G44" s="103">
        <v>2.426107</v>
      </c>
      <c r="H44" s="103">
        <v>2.4309690000000002</v>
      </c>
      <c r="I44" s="103">
        <v>2.4358409999999999</v>
      </c>
      <c r="J44" s="103">
        <v>2.4407220000000001</v>
      </c>
      <c r="K44" s="103">
        <v>2.4456129999999998</v>
      </c>
      <c r="L44" s="103">
        <v>2.4505140000000001</v>
      </c>
      <c r="M44" s="103">
        <v>2.455425</v>
      </c>
      <c r="N44" s="103">
        <v>2.4603459999999999</v>
      </c>
      <c r="O44" s="103">
        <v>2.4652759999999998</v>
      </c>
      <c r="P44" s="103">
        <v>2.4702169999999999</v>
      </c>
      <c r="Q44" s="103">
        <v>2.4751669999999999</v>
      </c>
      <c r="R44" s="103">
        <v>2.480127</v>
      </c>
      <c r="S44" s="103">
        <v>2.4850970000000001</v>
      </c>
      <c r="T44" s="103">
        <v>2.490078</v>
      </c>
      <c r="U44" s="103">
        <v>2.4950679999999998</v>
      </c>
      <c r="V44" s="103">
        <v>2.5000680000000002</v>
      </c>
      <c r="W44" s="103">
        <v>2.5050780000000001</v>
      </c>
      <c r="X44" s="103">
        <v>2.5100980000000002</v>
      </c>
      <c r="Y44" s="103">
        <v>2.5151279999999998</v>
      </c>
      <c r="Z44" s="103">
        <v>2.5201690000000001</v>
      </c>
      <c r="AA44" s="103">
        <v>2.5252189999999999</v>
      </c>
      <c r="AB44" s="103">
        <v>2.5302799999999999</v>
      </c>
      <c r="AC44" s="103">
        <v>2.5353509999999999</v>
      </c>
      <c r="AD44" s="103">
        <v>2.5404309999999999</v>
      </c>
      <c r="AE44" s="103">
        <v>2.5455230000000002</v>
      </c>
      <c r="AF44" s="103">
        <v>2.550624</v>
      </c>
      <c r="AG44" s="90">
        <v>2E-3</v>
      </c>
    </row>
    <row r="45" spans="1:33">
      <c r="A45" s="87"/>
    </row>
    <row r="46" spans="1:33">
      <c r="A46" s="89" t="s">
        <v>251</v>
      </c>
    </row>
    <row r="47" spans="1:33">
      <c r="A47" s="89" t="s">
        <v>252</v>
      </c>
    </row>
    <row r="48" spans="1:33" s="41" customFormat="1">
      <c r="A48" s="112" t="s">
        <v>253</v>
      </c>
      <c r="B48" s="113">
        <v>15.940970999999999</v>
      </c>
      <c r="C48" s="113">
        <v>15.555285</v>
      </c>
      <c r="D48" s="113">
        <v>15.471702000000001</v>
      </c>
      <c r="E48" s="113">
        <v>15.108853999999999</v>
      </c>
      <c r="F48" s="113">
        <v>14.867981</v>
      </c>
      <c r="G48" s="113">
        <v>14.791741</v>
      </c>
      <c r="H48" s="113">
        <v>14.734525</v>
      </c>
      <c r="I48" s="113">
        <v>14.664503</v>
      </c>
      <c r="J48" s="113">
        <v>14.578396</v>
      </c>
      <c r="K48" s="113">
        <v>14.480748</v>
      </c>
      <c r="L48" s="113">
        <v>14.354392000000001</v>
      </c>
      <c r="M48" s="113">
        <v>14.200877</v>
      </c>
      <c r="N48" s="113">
        <v>14.035722</v>
      </c>
      <c r="O48" s="113">
        <v>13.857034000000001</v>
      </c>
      <c r="P48" s="113">
        <v>13.671234</v>
      </c>
      <c r="Q48" s="113">
        <v>13.475491999999999</v>
      </c>
      <c r="R48" s="113">
        <v>13.296034000000001</v>
      </c>
      <c r="S48" s="113">
        <v>13.139531</v>
      </c>
      <c r="T48" s="113">
        <v>13.002146</v>
      </c>
      <c r="U48" s="113">
        <v>12.877579000000001</v>
      </c>
      <c r="V48" s="113">
        <v>12.769864999999999</v>
      </c>
      <c r="W48" s="113">
        <v>12.679182000000001</v>
      </c>
      <c r="X48" s="113">
        <v>12.602798999999999</v>
      </c>
      <c r="Y48" s="113">
        <v>12.534342000000001</v>
      </c>
      <c r="Z48" s="113">
        <v>12.481173</v>
      </c>
      <c r="AA48" s="113">
        <v>12.439914999999999</v>
      </c>
      <c r="AB48" s="113">
        <v>12.410638000000001</v>
      </c>
      <c r="AC48" s="113">
        <v>12.395391</v>
      </c>
      <c r="AD48" s="113">
        <v>12.394382</v>
      </c>
      <c r="AE48" s="113">
        <v>12.405258999999999</v>
      </c>
      <c r="AF48" s="113">
        <v>12.428039999999999</v>
      </c>
      <c r="AG48" s="114">
        <v>-8.0000000000000002E-3</v>
      </c>
    </row>
    <row r="49" spans="1:33" s="41" customFormat="1">
      <c r="A49" s="112" t="s">
        <v>254</v>
      </c>
      <c r="B49" s="113">
        <v>0.55307499999999998</v>
      </c>
      <c r="C49" s="113">
        <v>0.54381599999999997</v>
      </c>
      <c r="D49" s="113">
        <v>0.53706699999999996</v>
      </c>
      <c r="E49" s="113">
        <v>0.53420599999999996</v>
      </c>
      <c r="F49" s="113">
        <v>0.54096699999999998</v>
      </c>
      <c r="G49" s="113">
        <v>0.54978199999999999</v>
      </c>
      <c r="H49" s="113">
        <v>0.55441600000000002</v>
      </c>
      <c r="I49" s="113">
        <v>0.55815800000000004</v>
      </c>
      <c r="J49" s="113">
        <v>0.56005499999999997</v>
      </c>
      <c r="K49" s="113">
        <v>0.56142800000000004</v>
      </c>
      <c r="L49" s="113">
        <v>0.56066499999999997</v>
      </c>
      <c r="M49" s="113">
        <v>0.55842700000000001</v>
      </c>
      <c r="N49" s="113">
        <v>0.55681999999999998</v>
      </c>
      <c r="O49" s="113">
        <v>0.55293000000000003</v>
      </c>
      <c r="P49" s="113">
        <v>0.54848699999999995</v>
      </c>
      <c r="Q49" s="113">
        <v>0.54385600000000001</v>
      </c>
      <c r="R49" s="113">
        <v>0.53988499999999995</v>
      </c>
      <c r="S49" s="113">
        <v>0.53632000000000002</v>
      </c>
      <c r="T49" s="113">
        <v>0.53330200000000005</v>
      </c>
      <c r="U49" s="113">
        <v>0.53123200000000004</v>
      </c>
      <c r="V49" s="113">
        <v>0.530806</v>
      </c>
      <c r="W49" s="113">
        <v>0.53130299999999997</v>
      </c>
      <c r="X49" s="113">
        <v>0.53182399999999996</v>
      </c>
      <c r="Y49" s="113">
        <v>0.53302799999999995</v>
      </c>
      <c r="Z49" s="113">
        <v>0.53591200000000005</v>
      </c>
      <c r="AA49" s="113">
        <v>0.53977399999999998</v>
      </c>
      <c r="AB49" s="113">
        <v>0.54435699999999998</v>
      </c>
      <c r="AC49" s="113">
        <v>0.55012499999999998</v>
      </c>
      <c r="AD49" s="113">
        <v>0.55654000000000003</v>
      </c>
      <c r="AE49" s="113">
        <v>0.56324600000000002</v>
      </c>
      <c r="AF49" s="113">
        <v>0.57054000000000005</v>
      </c>
      <c r="AG49" s="114">
        <v>2E-3</v>
      </c>
    </row>
    <row r="50" spans="1:33" s="41" customFormat="1">
      <c r="A50" s="112" t="s">
        <v>255</v>
      </c>
      <c r="B50" s="113">
        <v>0.25338100000000002</v>
      </c>
      <c r="C50" s="113">
        <v>0.24916199999999999</v>
      </c>
      <c r="D50" s="113">
        <v>0.23746500000000001</v>
      </c>
      <c r="E50" s="113">
        <v>0.246423</v>
      </c>
      <c r="F50" s="113">
        <v>0.25542900000000002</v>
      </c>
      <c r="G50" s="113">
        <v>0.25761299999999998</v>
      </c>
      <c r="H50" s="113">
        <v>0.25983000000000001</v>
      </c>
      <c r="I50" s="113">
        <v>0.26207999999999998</v>
      </c>
      <c r="J50" s="113">
        <v>0.26435900000000001</v>
      </c>
      <c r="K50" s="113">
        <v>0.26666699999999999</v>
      </c>
      <c r="L50" s="113">
        <v>0.26900299999999999</v>
      </c>
      <c r="M50" s="113">
        <v>0.271366</v>
      </c>
      <c r="N50" s="113">
        <v>0.27374999999999999</v>
      </c>
      <c r="O50" s="113">
        <v>0.276146</v>
      </c>
      <c r="P50" s="113">
        <v>0.27855600000000003</v>
      </c>
      <c r="Q50" s="113">
        <v>0.28098400000000001</v>
      </c>
      <c r="R50" s="113">
        <v>0.28342800000000001</v>
      </c>
      <c r="S50" s="113">
        <v>0.285889</v>
      </c>
      <c r="T50" s="113">
        <v>0.28836600000000001</v>
      </c>
      <c r="U50" s="113">
        <v>0.29086000000000001</v>
      </c>
      <c r="V50" s="113">
        <v>0.29337099999999999</v>
      </c>
      <c r="W50" s="113">
        <v>0.2959</v>
      </c>
      <c r="X50" s="113">
        <v>0.29844700000000002</v>
      </c>
      <c r="Y50" s="113">
        <v>0.301012</v>
      </c>
      <c r="Z50" s="113">
        <v>0.30359599999999998</v>
      </c>
      <c r="AA50" s="113">
        <v>0.30620000000000003</v>
      </c>
      <c r="AB50" s="113">
        <v>0.30882300000000001</v>
      </c>
      <c r="AC50" s="113">
        <v>0.31145499999999998</v>
      </c>
      <c r="AD50" s="113">
        <v>0.31409599999999999</v>
      </c>
      <c r="AE50" s="113">
        <v>0.31675999999999999</v>
      </c>
      <c r="AF50" s="113">
        <v>0.31944499999999998</v>
      </c>
      <c r="AG50" s="114">
        <v>8.9999999999999993E-3</v>
      </c>
    </row>
    <row r="51" spans="1:33" s="41" customFormat="1">
      <c r="A51" s="112" t="s">
        <v>256</v>
      </c>
      <c r="B51" s="113">
        <v>4.8583290000000003</v>
      </c>
      <c r="C51" s="113">
        <v>4.951492</v>
      </c>
      <c r="D51" s="113">
        <v>4.8978970000000004</v>
      </c>
      <c r="E51" s="113">
        <v>5.2011669999999999</v>
      </c>
      <c r="F51" s="113">
        <v>5.5382530000000001</v>
      </c>
      <c r="G51" s="113">
        <v>5.7311839999999998</v>
      </c>
      <c r="H51" s="113">
        <v>5.8388960000000001</v>
      </c>
      <c r="I51" s="113">
        <v>5.9162369999999997</v>
      </c>
      <c r="J51" s="113">
        <v>5.9807129999999997</v>
      </c>
      <c r="K51" s="113">
        <v>6.0361159999999998</v>
      </c>
      <c r="L51" s="113">
        <v>6.0694150000000002</v>
      </c>
      <c r="M51" s="113">
        <v>6.1042990000000001</v>
      </c>
      <c r="N51" s="113">
        <v>6.1540229999999996</v>
      </c>
      <c r="O51" s="113">
        <v>6.1840760000000001</v>
      </c>
      <c r="P51" s="113">
        <v>6.2093720000000001</v>
      </c>
      <c r="Q51" s="113">
        <v>6.2405160000000004</v>
      </c>
      <c r="R51" s="113">
        <v>6.2657959999999999</v>
      </c>
      <c r="S51" s="113">
        <v>6.2855429999999997</v>
      </c>
      <c r="T51" s="113">
        <v>6.3039959999999997</v>
      </c>
      <c r="U51" s="113">
        <v>6.3338200000000002</v>
      </c>
      <c r="V51" s="113">
        <v>6.3865059999999998</v>
      </c>
      <c r="W51" s="113">
        <v>6.4503259999999996</v>
      </c>
      <c r="X51" s="113">
        <v>6.5086870000000001</v>
      </c>
      <c r="Y51" s="113">
        <v>6.5746330000000004</v>
      </c>
      <c r="Z51" s="113">
        <v>6.6614699999999996</v>
      </c>
      <c r="AA51" s="113">
        <v>6.7555500000000004</v>
      </c>
      <c r="AB51" s="113">
        <v>6.8510200000000001</v>
      </c>
      <c r="AC51" s="113">
        <v>6.9590069999999997</v>
      </c>
      <c r="AD51" s="113">
        <v>7.0726469999999999</v>
      </c>
      <c r="AE51" s="113">
        <v>7.1892110000000002</v>
      </c>
      <c r="AF51" s="113">
        <v>7.3085709999999997</v>
      </c>
      <c r="AG51" s="114">
        <v>1.4E-2</v>
      </c>
    </row>
    <row r="52" spans="1:33" s="41" customFormat="1">
      <c r="A52" s="112"/>
      <c r="B52" s="106">
        <f>SUM(B48:B51)</f>
        <v>21.605756000000003</v>
      </c>
      <c r="C52" s="106">
        <f t="shared" ref="C52:AF52" si="3">SUM(C48:C51)</f>
        <v>21.299754999999998</v>
      </c>
      <c r="D52" s="106">
        <f t="shared" si="3"/>
        <v>21.144131000000002</v>
      </c>
      <c r="E52" s="106">
        <f t="shared" si="3"/>
        <v>21.090649999999997</v>
      </c>
      <c r="F52" s="106">
        <f t="shared" si="3"/>
        <v>21.202629999999999</v>
      </c>
      <c r="G52" s="106">
        <f t="shared" si="3"/>
        <v>21.33032</v>
      </c>
      <c r="H52" s="106">
        <f t="shared" si="3"/>
        <v>21.387667</v>
      </c>
      <c r="I52" s="106">
        <f t="shared" si="3"/>
        <v>21.400977999999999</v>
      </c>
      <c r="J52" s="106">
        <f t="shared" si="3"/>
        <v>21.383523</v>
      </c>
      <c r="K52" s="106">
        <f t="shared" si="3"/>
        <v>21.344958999999999</v>
      </c>
      <c r="L52" s="106">
        <f t="shared" si="3"/>
        <v>21.253475000000002</v>
      </c>
      <c r="M52" s="106">
        <f t="shared" si="3"/>
        <v>21.134969000000002</v>
      </c>
      <c r="N52" s="106">
        <f t="shared" si="3"/>
        <v>21.020315</v>
      </c>
      <c r="O52" s="106">
        <f t="shared" si="3"/>
        <v>20.870186</v>
      </c>
      <c r="P52" s="106">
        <f t="shared" si="3"/>
        <v>20.707649</v>
      </c>
      <c r="Q52" s="106">
        <f t="shared" si="3"/>
        <v>20.540848</v>
      </c>
      <c r="R52" s="106">
        <f t="shared" si="3"/>
        <v>20.385142999999999</v>
      </c>
      <c r="S52" s="106">
        <f t="shared" si="3"/>
        <v>20.247282999999999</v>
      </c>
      <c r="T52" s="106">
        <f t="shared" si="3"/>
        <v>20.12781</v>
      </c>
      <c r="U52" s="106">
        <f t="shared" si="3"/>
        <v>20.033491000000001</v>
      </c>
      <c r="V52" s="106">
        <f t="shared" si="3"/>
        <v>19.980547999999999</v>
      </c>
      <c r="W52" s="106">
        <f t="shared" si="3"/>
        <v>19.956710999999999</v>
      </c>
      <c r="X52" s="106">
        <f t="shared" si="3"/>
        <v>19.941756999999999</v>
      </c>
      <c r="Y52" s="106">
        <f t="shared" si="3"/>
        <v>19.943015000000003</v>
      </c>
      <c r="Z52" s="106">
        <f t="shared" si="3"/>
        <v>19.982151000000002</v>
      </c>
      <c r="AA52" s="106">
        <f t="shared" si="3"/>
        <v>20.041439</v>
      </c>
      <c r="AB52" s="106">
        <f t="shared" si="3"/>
        <v>20.114837999999999</v>
      </c>
      <c r="AC52" s="106">
        <f t="shared" si="3"/>
        <v>20.215978</v>
      </c>
      <c r="AD52" s="106">
        <f t="shared" si="3"/>
        <v>20.337665000000001</v>
      </c>
      <c r="AE52" s="106">
        <f t="shared" si="3"/>
        <v>20.474475999999999</v>
      </c>
      <c r="AF52" s="106">
        <f t="shared" si="3"/>
        <v>20.626595999999999</v>
      </c>
      <c r="AG52" s="114"/>
    </row>
    <row r="53" spans="1:33" s="41" customFormat="1">
      <c r="A53" s="112" t="s">
        <v>253</v>
      </c>
      <c r="B53" s="115">
        <f>B48/B$52</f>
        <v>0.73781130361742475</v>
      </c>
      <c r="C53" s="115">
        <f t="shared" ref="C53:AF56" si="4">C48/C$52</f>
        <v>0.73030347062677492</v>
      </c>
      <c r="D53" s="115">
        <f t="shared" si="4"/>
        <v>0.73172560272162523</v>
      </c>
      <c r="E53" s="115">
        <f t="shared" si="4"/>
        <v>0.71637687790561233</v>
      </c>
      <c r="F53" s="115">
        <f t="shared" si="4"/>
        <v>0.70123286592276524</v>
      </c>
      <c r="G53" s="115">
        <f t="shared" si="4"/>
        <v>0.69346081071451338</v>
      </c>
      <c r="H53" s="115">
        <f t="shared" si="4"/>
        <v>0.6889262395940613</v>
      </c>
      <c r="I53" s="115">
        <f t="shared" si="4"/>
        <v>0.68522583407169524</v>
      </c>
      <c r="J53" s="115">
        <f t="shared" si="4"/>
        <v>0.68175838003868672</v>
      </c>
      <c r="K53" s="115">
        <f t="shared" si="4"/>
        <v>0.67841535793064778</v>
      </c>
      <c r="L53" s="115">
        <f t="shared" si="4"/>
        <v>0.67539035381272938</v>
      </c>
      <c r="M53" s="115">
        <f t="shared" si="4"/>
        <v>0.67191378421231651</v>
      </c>
      <c r="N53" s="115">
        <f t="shared" si="4"/>
        <v>0.66772177296106172</v>
      </c>
      <c r="O53" s="115">
        <f t="shared" si="4"/>
        <v>0.66396312903009103</v>
      </c>
      <c r="P53" s="115">
        <f t="shared" si="4"/>
        <v>0.66020213110624004</v>
      </c>
      <c r="Q53" s="115">
        <f t="shared" si="4"/>
        <v>0.65603386968249799</v>
      </c>
      <c r="R53" s="115">
        <f t="shared" si="4"/>
        <v>0.6522413897219167</v>
      </c>
      <c r="S53" s="115">
        <f t="shared" si="4"/>
        <v>0.6489528002349747</v>
      </c>
      <c r="T53" s="115">
        <f t="shared" si="4"/>
        <v>0.64597917011339034</v>
      </c>
      <c r="U53" s="115">
        <f t="shared" si="4"/>
        <v>0.64280254499827316</v>
      </c>
      <c r="V53" s="115">
        <f t="shared" si="4"/>
        <v>0.63911485310613103</v>
      </c>
      <c r="W53" s="115">
        <f t="shared" si="4"/>
        <v>0.63533424921571502</v>
      </c>
      <c r="X53" s="115">
        <f t="shared" si="4"/>
        <v>0.63198037163926923</v>
      </c>
      <c r="Y53" s="115">
        <f t="shared" si="4"/>
        <v>0.62850787606588066</v>
      </c>
      <c r="Z53" s="115">
        <f t="shared" si="4"/>
        <v>0.62461608862829632</v>
      </c>
      <c r="AA53" s="115">
        <f t="shared" si="4"/>
        <v>0.62070967059800441</v>
      </c>
      <c r="AB53" s="115">
        <f t="shared" si="4"/>
        <v>0.61698920965707016</v>
      </c>
      <c r="AC53" s="115">
        <f t="shared" si="4"/>
        <v>0.61314822364765142</v>
      </c>
      <c r="AD53" s="115">
        <f t="shared" si="4"/>
        <v>0.60942994193286193</v>
      </c>
      <c r="AE53" s="115">
        <f t="shared" si="4"/>
        <v>0.6058889614562053</v>
      </c>
      <c r="AF53" s="115">
        <f t="shared" si="4"/>
        <v>0.6025250118827169</v>
      </c>
      <c r="AG53" s="114"/>
    </row>
    <row r="54" spans="1:33" s="41" customFormat="1">
      <c r="A54" s="112" t="s">
        <v>254</v>
      </c>
      <c r="B54" s="115">
        <f t="shared" ref="B54:Q56" si="5">B49/B$52</f>
        <v>2.5598502547191586E-2</v>
      </c>
      <c r="C54" s="115">
        <f t="shared" si="5"/>
        <v>2.5531561278521749E-2</v>
      </c>
      <c r="D54" s="115">
        <f t="shared" si="5"/>
        <v>2.5400287200263747E-2</v>
      </c>
      <c r="E54" s="115">
        <f t="shared" si="5"/>
        <v>2.532904391282393E-2</v>
      </c>
      <c r="F54" s="115">
        <f t="shared" si="5"/>
        <v>2.5514146122438585E-2</v>
      </c>
      <c r="G54" s="115">
        <f t="shared" si="5"/>
        <v>2.5774671922409041E-2</v>
      </c>
      <c r="H54" s="115">
        <f t="shared" si="5"/>
        <v>2.5922228918189162E-2</v>
      </c>
      <c r="I54" s="115">
        <f t="shared" si="5"/>
        <v>2.6080957608572847E-2</v>
      </c>
      <c r="J54" s="115">
        <f t="shared" si="5"/>
        <v>2.6190960208006882E-2</v>
      </c>
      <c r="K54" s="115">
        <f t="shared" si="5"/>
        <v>2.6302603813856004E-2</v>
      </c>
      <c r="L54" s="115">
        <f t="shared" si="5"/>
        <v>2.6379921401088524E-2</v>
      </c>
      <c r="M54" s="115">
        <f t="shared" si="5"/>
        <v>2.6421945544372456E-2</v>
      </c>
      <c r="N54" s="115">
        <f t="shared" si="5"/>
        <v>2.6489612548622605E-2</v>
      </c>
      <c r="O54" s="115">
        <f t="shared" si="5"/>
        <v>2.6493774420601714E-2</v>
      </c>
      <c r="P54" s="115">
        <f t="shared" si="5"/>
        <v>2.6487169064918957E-2</v>
      </c>
      <c r="Q54" s="115">
        <f t="shared" si="5"/>
        <v>2.6476803684054327E-2</v>
      </c>
      <c r="R54" s="115">
        <f t="shared" si="4"/>
        <v>2.6484239036243206E-2</v>
      </c>
      <c r="S54" s="115">
        <f t="shared" si="4"/>
        <v>2.648849230783212E-2</v>
      </c>
      <c r="T54" s="115">
        <f t="shared" si="4"/>
        <v>2.6495778726051172E-2</v>
      </c>
      <c r="U54" s="115">
        <f t="shared" si="4"/>
        <v>2.6517195630057687E-2</v>
      </c>
      <c r="V54" s="115">
        <f t="shared" si="4"/>
        <v>2.6566138226038646E-2</v>
      </c>
      <c r="W54" s="115">
        <f t="shared" si="4"/>
        <v>2.6622773662453698E-2</v>
      </c>
      <c r="X54" s="115">
        <f t="shared" si="4"/>
        <v>2.6668863731515734E-2</v>
      </c>
      <c r="Y54" s="115">
        <f t="shared" si="4"/>
        <v>2.6727553481757892E-2</v>
      </c>
      <c r="Z54" s="115">
        <f t="shared" si="4"/>
        <v>2.6819535094094724E-2</v>
      </c>
      <c r="AA54" s="115">
        <f t="shared" si="4"/>
        <v>2.6932896385334405E-2</v>
      </c>
      <c r="AB54" s="115">
        <f t="shared" si="4"/>
        <v>2.7062460060578167E-2</v>
      </c>
      <c r="AC54" s="115">
        <f t="shared" si="4"/>
        <v>2.7212386163063689E-2</v>
      </c>
      <c r="AD54" s="115">
        <f t="shared" si="4"/>
        <v>2.7364990032041535E-2</v>
      </c>
      <c r="AE54" s="115">
        <f t="shared" si="4"/>
        <v>2.7509666181444646E-2</v>
      </c>
      <c r="AF54" s="115">
        <f t="shared" si="4"/>
        <v>2.7660405042111653E-2</v>
      </c>
      <c r="AG54" s="114"/>
    </row>
    <row r="55" spans="1:33" s="41" customFormat="1">
      <c r="A55" s="112" t="s">
        <v>255</v>
      </c>
      <c r="B55" s="115">
        <f t="shared" si="5"/>
        <v>1.1727476696487731E-2</v>
      </c>
      <c r="C55" s="115">
        <f t="shared" si="4"/>
        <v>1.1697881031964922E-2</v>
      </c>
      <c r="D55" s="115">
        <f t="shared" si="4"/>
        <v>1.1230776048445783E-2</v>
      </c>
      <c r="E55" s="115">
        <f t="shared" si="4"/>
        <v>1.168399266973754E-2</v>
      </c>
      <c r="F55" s="115">
        <f t="shared" si="4"/>
        <v>1.2047043220581598E-2</v>
      </c>
      <c r="G55" s="115">
        <f t="shared" si="4"/>
        <v>1.2077315295785528E-2</v>
      </c>
      <c r="H55" s="115">
        <f t="shared" si="4"/>
        <v>1.2148590119717124E-2</v>
      </c>
      <c r="I55" s="115">
        <f t="shared" si="4"/>
        <v>1.2246169310580104E-2</v>
      </c>
      <c r="J55" s="115">
        <f t="shared" si="4"/>
        <v>1.2362743033502946E-2</v>
      </c>
      <c r="K55" s="115">
        <f t="shared" si="4"/>
        <v>1.2493207412579241E-2</v>
      </c>
      <c r="L55" s="115">
        <f t="shared" si="4"/>
        <v>1.2656894931299468E-2</v>
      </c>
      <c r="M55" s="115">
        <f t="shared" si="4"/>
        <v>1.283966870261319E-2</v>
      </c>
      <c r="N55" s="115">
        <f t="shared" si="4"/>
        <v>1.3023115971382922E-2</v>
      </c>
      <c r="O55" s="115">
        <f t="shared" si="4"/>
        <v>1.3231602248298122E-2</v>
      </c>
      <c r="P55" s="115">
        <f t="shared" si="4"/>
        <v>1.34518409115395E-2</v>
      </c>
      <c r="Q55" s="115">
        <f t="shared" si="4"/>
        <v>1.3679279453311762E-2</v>
      </c>
      <c r="R55" s="115">
        <f t="shared" si="4"/>
        <v>1.3903655225769081E-2</v>
      </c>
      <c r="S55" s="115">
        <f t="shared" si="4"/>
        <v>1.4119869811668065E-2</v>
      </c>
      <c r="T55" s="115">
        <f t="shared" si="4"/>
        <v>1.4326744936483404E-2</v>
      </c>
      <c r="U55" s="115">
        <f t="shared" si="4"/>
        <v>1.4518687731459284E-2</v>
      </c>
      <c r="V55" s="115">
        <f t="shared" si="4"/>
        <v>1.4682830520964691E-2</v>
      </c>
      <c r="W55" s="115">
        <f t="shared" si="4"/>
        <v>1.482709250036241E-2</v>
      </c>
      <c r="X55" s="115">
        <f t="shared" si="4"/>
        <v>1.4965933041907993E-2</v>
      </c>
      <c r="Y55" s="115">
        <f t="shared" si="4"/>
        <v>1.5093605455343636E-2</v>
      </c>
      <c r="Z55" s="115">
        <f t="shared" si="4"/>
        <v>1.5193359313519348E-2</v>
      </c>
      <c r="AA55" s="115">
        <f t="shared" si="4"/>
        <v>1.5278344035076524E-2</v>
      </c>
      <c r="AB55" s="115">
        <f t="shared" si="4"/>
        <v>1.5352994640076148E-2</v>
      </c>
      <c r="AC55" s="115">
        <f t="shared" si="4"/>
        <v>1.5406378063925474E-2</v>
      </c>
      <c r="AD55" s="115">
        <f t="shared" si="4"/>
        <v>1.5444054172393928E-2</v>
      </c>
      <c r="AE55" s="115">
        <f t="shared" si="4"/>
        <v>1.5470969806504449E-2</v>
      </c>
      <c r="AF55" s="115">
        <f t="shared" si="4"/>
        <v>1.5487044008618774E-2</v>
      </c>
      <c r="AG55" s="114"/>
    </row>
    <row r="56" spans="1:33" s="41" customFormat="1">
      <c r="A56" s="112" t="s">
        <v>256</v>
      </c>
      <c r="B56" s="115">
        <f t="shared" si="5"/>
        <v>0.22486271713889575</v>
      </c>
      <c r="C56" s="115">
        <f t="shared" si="4"/>
        <v>0.23246708706273855</v>
      </c>
      <c r="D56" s="115">
        <f t="shared" si="4"/>
        <v>0.23164333402966525</v>
      </c>
      <c r="E56" s="115">
        <f t="shared" si="4"/>
        <v>0.24661008551182637</v>
      </c>
      <c r="F56" s="115">
        <f t="shared" si="4"/>
        <v>0.2612059447342146</v>
      </c>
      <c r="G56" s="115">
        <f t="shared" si="4"/>
        <v>0.26868720206729202</v>
      </c>
      <c r="H56" s="115">
        <f t="shared" si="4"/>
        <v>0.27300294136803233</v>
      </c>
      <c r="I56" s="115">
        <f t="shared" si="4"/>
        <v>0.27644703900915185</v>
      </c>
      <c r="J56" s="115">
        <f t="shared" si="4"/>
        <v>0.27968791671980336</v>
      </c>
      <c r="K56" s="115">
        <f t="shared" si="4"/>
        <v>0.28278883084291706</v>
      </c>
      <c r="L56" s="115">
        <f t="shared" si="4"/>
        <v>0.28557282985488253</v>
      </c>
      <c r="M56" s="115">
        <f t="shared" si="4"/>
        <v>0.28882460154069778</v>
      </c>
      <c r="N56" s="115">
        <f t="shared" si="4"/>
        <v>0.29276549851893274</v>
      </c>
      <c r="O56" s="115">
        <f t="shared" si="4"/>
        <v>0.29631149430100912</v>
      </c>
      <c r="P56" s="115">
        <f t="shared" si="4"/>
        <v>0.29985885891730152</v>
      </c>
      <c r="Q56" s="115">
        <f t="shared" si="4"/>
        <v>0.30381004718013588</v>
      </c>
      <c r="R56" s="115">
        <f t="shared" si="4"/>
        <v>0.30737071601607113</v>
      </c>
      <c r="S56" s="115">
        <f t="shared" si="4"/>
        <v>0.31043883764552505</v>
      </c>
      <c r="T56" s="115">
        <f t="shared" si="4"/>
        <v>0.31319830622407502</v>
      </c>
      <c r="U56" s="115">
        <f t="shared" si="4"/>
        <v>0.31616157164020986</v>
      </c>
      <c r="V56" s="115">
        <f t="shared" si="4"/>
        <v>0.31963617814686562</v>
      </c>
      <c r="W56" s="115">
        <f t="shared" si="4"/>
        <v>0.32321588462146894</v>
      </c>
      <c r="X56" s="115">
        <f t="shared" si="4"/>
        <v>0.32638483158730702</v>
      </c>
      <c r="Y56" s="115">
        <f t="shared" si="4"/>
        <v>0.32967096499701776</v>
      </c>
      <c r="Z56" s="115">
        <f t="shared" si="4"/>
        <v>0.33337101696408955</v>
      </c>
      <c r="AA56" s="115">
        <f t="shared" si="4"/>
        <v>0.33707908898158462</v>
      </c>
      <c r="AB56" s="115">
        <f t="shared" si="4"/>
        <v>0.34059533564227562</v>
      </c>
      <c r="AC56" s="115">
        <f t="shared" si="4"/>
        <v>0.34423301212535945</v>
      </c>
      <c r="AD56" s="115">
        <f t="shared" si="4"/>
        <v>0.34776101386270253</v>
      </c>
      <c r="AE56" s="115">
        <f t="shared" si="4"/>
        <v>0.35113040255584566</v>
      </c>
      <c r="AF56" s="115">
        <f t="shared" si="4"/>
        <v>0.35432753906655273</v>
      </c>
      <c r="AG56" s="114"/>
    </row>
    <row r="57" spans="1:33" s="41" customFormat="1">
      <c r="A57" s="112"/>
      <c r="B57" s="116">
        <f>SUM(B53:B56)</f>
        <v>0.99999999999999978</v>
      </c>
      <c r="C57" s="116">
        <f t="shared" ref="C57:AF57" si="6">SUM(C53:C56)</f>
        <v>1</v>
      </c>
      <c r="D57" s="116">
        <f t="shared" si="6"/>
        <v>1</v>
      </c>
      <c r="E57" s="116">
        <f t="shared" si="6"/>
        <v>1.0000000000000002</v>
      </c>
      <c r="F57" s="116">
        <f t="shared" si="6"/>
        <v>1</v>
      </c>
      <c r="G57" s="116">
        <f t="shared" si="6"/>
        <v>0.99999999999999989</v>
      </c>
      <c r="H57" s="116">
        <f t="shared" si="6"/>
        <v>1</v>
      </c>
      <c r="I57" s="116">
        <f t="shared" si="6"/>
        <v>1</v>
      </c>
      <c r="J57" s="116">
        <f t="shared" si="6"/>
        <v>1</v>
      </c>
      <c r="K57" s="116">
        <f t="shared" si="6"/>
        <v>1</v>
      </c>
      <c r="L57" s="116">
        <f t="shared" si="6"/>
        <v>1</v>
      </c>
      <c r="M57" s="116">
        <f t="shared" si="6"/>
        <v>1</v>
      </c>
      <c r="N57" s="116">
        <f t="shared" si="6"/>
        <v>1</v>
      </c>
      <c r="O57" s="116">
        <f t="shared" si="6"/>
        <v>1</v>
      </c>
      <c r="P57" s="116">
        <f t="shared" si="6"/>
        <v>1</v>
      </c>
      <c r="Q57" s="116">
        <f t="shared" si="6"/>
        <v>1</v>
      </c>
      <c r="R57" s="116">
        <f t="shared" si="6"/>
        <v>1</v>
      </c>
      <c r="S57" s="116">
        <f t="shared" si="6"/>
        <v>0.99999999999999989</v>
      </c>
      <c r="T57" s="116">
        <f t="shared" si="6"/>
        <v>1</v>
      </c>
      <c r="U57" s="116">
        <f t="shared" si="6"/>
        <v>1</v>
      </c>
      <c r="V57" s="116">
        <f t="shared" si="6"/>
        <v>0.99999999999999989</v>
      </c>
      <c r="W57" s="116">
        <f t="shared" si="6"/>
        <v>1</v>
      </c>
      <c r="X57" s="116">
        <f t="shared" si="6"/>
        <v>1</v>
      </c>
      <c r="Y57" s="116">
        <f t="shared" si="6"/>
        <v>1</v>
      </c>
      <c r="Z57" s="116">
        <f t="shared" si="6"/>
        <v>1</v>
      </c>
      <c r="AA57" s="116">
        <f t="shared" si="6"/>
        <v>1</v>
      </c>
      <c r="AB57" s="116">
        <f t="shared" si="6"/>
        <v>1</v>
      </c>
      <c r="AC57" s="116">
        <f t="shared" si="6"/>
        <v>1</v>
      </c>
      <c r="AD57" s="116">
        <f t="shared" si="6"/>
        <v>0.99999999999999989</v>
      </c>
      <c r="AE57" s="116">
        <f t="shared" si="6"/>
        <v>1</v>
      </c>
      <c r="AF57" s="116">
        <f t="shared" si="6"/>
        <v>1</v>
      </c>
      <c r="AG57" s="114"/>
    </row>
    <row r="58" spans="1:33">
      <c r="A58" s="87" t="s">
        <v>257</v>
      </c>
      <c r="B58" s="103">
        <v>4.6478999999999999E-2</v>
      </c>
      <c r="C58" s="103">
        <v>4.7372999999999998E-2</v>
      </c>
      <c r="D58" s="103">
        <v>4.6905000000000002E-2</v>
      </c>
      <c r="E58" s="103">
        <v>4.8305000000000001E-2</v>
      </c>
      <c r="F58" s="103">
        <v>4.9563000000000003E-2</v>
      </c>
      <c r="G58" s="103">
        <v>4.9943000000000001E-2</v>
      </c>
      <c r="H58" s="103">
        <v>5.0367000000000002E-2</v>
      </c>
      <c r="I58" s="103">
        <v>5.0798999999999997E-2</v>
      </c>
      <c r="J58" s="103">
        <v>5.1303000000000001E-2</v>
      </c>
      <c r="K58" s="103">
        <v>5.1884E-2</v>
      </c>
      <c r="L58" s="103">
        <v>5.2474E-2</v>
      </c>
      <c r="M58" s="103">
        <v>5.3086000000000001E-2</v>
      </c>
      <c r="N58" s="103">
        <v>5.3705000000000003E-2</v>
      </c>
      <c r="O58" s="103">
        <v>5.4260999999999997E-2</v>
      </c>
      <c r="P58" s="103">
        <v>5.4809999999999998E-2</v>
      </c>
      <c r="Q58" s="103">
        <v>5.5352999999999999E-2</v>
      </c>
      <c r="R58" s="103">
        <v>5.5853E-2</v>
      </c>
      <c r="S58" s="103">
        <v>5.6411999999999997E-2</v>
      </c>
      <c r="T58" s="103">
        <v>5.6966000000000003E-2</v>
      </c>
      <c r="U58" s="103">
        <v>5.7515999999999998E-2</v>
      </c>
      <c r="V58" s="103">
        <v>5.8101E-2</v>
      </c>
      <c r="W58" s="103">
        <v>5.8701999999999997E-2</v>
      </c>
      <c r="X58" s="103">
        <v>5.9286999999999999E-2</v>
      </c>
      <c r="Y58" s="103">
        <v>5.9901999999999997E-2</v>
      </c>
      <c r="Z58" s="103">
        <v>6.0553999999999997E-2</v>
      </c>
      <c r="AA58" s="103">
        <v>6.1231000000000001E-2</v>
      </c>
      <c r="AB58" s="103">
        <v>6.1821000000000001E-2</v>
      </c>
      <c r="AC58" s="103">
        <v>6.2368E-2</v>
      </c>
      <c r="AD58" s="103">
        <v>6.2938999999999995E-2</v>
      </c>
      <c r="AE58" s="103">
        <v>6.3536999999999996E-2</v>
      </c>
      <c r="AF58" s="103">
        <v>6.4159999999999995E-2</v>
      </c>
      <c r="AG58" s="90">
        <v>1.0999999999999999E-2</v>
      </c>
    </row>
    <row r="59" spans="1:33">
      <c r="A59" s="87" t="s">
        <v>258</v>
      </c>
      <c r="B59" s="103">
        <v>0.45969100000000002</v>
      </c>
      <c r="C59" s="103">
        <v>0.45205099999999998</v>
      </c>
      <c r="D59" s="103">
        <v>0.39279799999999998</v>
      </c>
      <c r="E59" s="103">
        <v>0.42393399999999998</v>
      </c>
      <c r="F59" s="103">
        <v>0.44015599999999999</v>
      </c>
      <c r="G59" s="103">
        <v>0.45594499999999999</v>
      </c>
      <c r="H59" s="103">
        <v>0.448239</v>
      </c>
      <c r="I59" s="103">
        <v>0.461422</v>
      </c>
      <c r="J59" s="103">
        <v>0.47492200000000001</v>
      </c>
      <c r="K59" s="103">
        <v>0.48643799999999998</v>
      </c>
      <c r="L59" s="103">
        <v>0.49479499999999998</v>
      </c>
      <c r="M59" s="103">
        <v>0.50137799999999999</v>
      </c>
      <c r="N59" s="103">
        <v>0.508853</v>
      </c>
      <c r="O59" s="103">
        <v>0.51690000000000003</v>
      </c>
      <c r="P59" s="103">
        <v>0.52019800000000005</v>
      </c>
      <c r="Q59" s="103">
        <v>0.52502700000000002</v>
      </c>
      <c r="R59" s="103">
        <v>0.53047100000000003</v>
      </c>
      <c r="S59" s="103">
        <v>0.53193299999999999</v>
      </c>
      <c r="T59" s="103">
        <v>0.53509799999999996</v>
      </c>
      <c r="U59" s="103">
        <v>0.53741000000000005</v>
      </c>
      <c r="V59" s="103">
        <v>0.54407399999999995</v>
      </c>
      <c r="W59" s="103">
        <v>0.54502399999999995</v>
      </c>
      <c r="X59" s="103">
        <v>0.54622499999999996</v>
      </c>
      <c r="Y59" s="103">
        <v>0.548211</v>
      </c>
      <c r="Z59" s="103">
        <v>0.55324700000000004</v>
      </c>
      <c r="AA59" s="103">
        <v>0.55803100000000005</v>
      </c>
      <c r="AB59" s="103">
        <v>0.55603800000000003</v>
      </c>
      <c r="AC59" s="103">
        <v>0.561504</v>
      </c>
      <c r="AD59" s="103">
        <v>0.564716</v>
      </c>
      <c r="AE59" s="103">
        <v>0.56548200000000004</v>
      </c>
      <c r="AF59" s="103">
        <v>0.56877</v>
      </c>
      <c r="AG59" s="90">
        <v>8.0000000000000002E-3</v>
      </c>
    </row>
    <row r="60" spans="1:33">
      <c r="A60" s="87" t="s">
        <v>259</v>
      </c>
      <c r="B60" s="103">
        <v>0.21151900000000001</v>
      </c>
      <c r="C60" s="103">
        <v>0.213588</v>
      </c>
      <c r="D60" s="103">
        <v>0.19767499999999999</v>
      </c>
      <c r="E60" s="103">
        <v>0.21396200000000001</v>
      </c>
      <c r="F60" s="103">
        <v>0.23219200000000001</v>
      </c>
      <c r="G60" s="103">
        <v>0.23668600000000001</v>
      </c>
      <c r="H60" s="103">
        <v>0.24255299999999999</v>
      </c>
      <c r="I60" s="103">
        <v>0.24540500000000001</v>
      </c>
      <c r="J60" s="103">
        <v>0.24748100000000001</v>
      </c>
      <c r="K60" s="103">
        <v>0.25002999999999997</v>
      </c>
      <c r="L60" s="103">
        <v>0.25018200000000002</v>
      </c>
      <c r="M60" s="103">
        <v>0.249613</v>
      </c>
      <c r="N60" s="103">
        <v>0.24840899999999999</v>
      </c>
      <c r="O60" s="103">
        <v>0.247081</v>
      </c>
      <c r="P60" s="103">
        <v>0.244975</v>
      </c>
      <c r="Q60" s="103">
        <v>0.24297299999999999</v>
      </c>
      <c r="R60" s="103">
        <v>0.239177</v>
      </c>
      <c r="S60" s="103">
        <v>0.23689399999999999</v>
      </c>
      <c r="T60" s="103">
        <v>0.23477200000000001</v>
      </c>
      <c r="U60" s="103">
        <v>0.23289399999999999</v>
      </c>
      <c r="V60" s="103">
        <v>0.23219000000000001</v>
      </c>
      <c r="W60" s="103">
        <v>0.232353</v>
      </c>
      <c r="X60" s="103">
        <v>0.23222400000000001</v>
      </c>
      <c r="Y60" s="103">
        <v>0.23257800000000001</v>
      </c>
      <c r="Z60" s="103">
        <v>0.23255300000000001</v>
      </c>
      <c r="AA60" s="103">
        <v>0.232208</v>
      </c>
      <c r="AB60" s="103">
        <v>0.230378</v>
      </c>
      <c r="AC60" s="103">
        <v>0.229716</v>
      </c>
      <c r="AD60" s="103">
        <v>0.23061899999999999</v>
      </c>
      <c r="AE60" s="103">
        <v>0.23236799999999999</v>
      </c>
      <c r="AF60" s="103">
        <v>0.23282900000000001</v>
      </c>
      <c r="AG60" s="90">
        <v>3.0000000000000001E-3</v>
      </c>
    </row>
    <row r="61" spans="1:33">
      <c r="A61" s="87" t="s">
        <v>260</v>
      </c>
      <c r="B61" s="103">
        <v>0.84652700000000003</v>
      </c>
      <c r="C61" s="103">
        <v>0.795041</v>
      </c>
      <c r="D61" s="103">
        <v>0.69104900000000002</v>
      </c>
      <c r="E61" s="103">
        <v>0.74465199999999998</v>
      </c>
      <c r="F61" s="103">
        <v>0.79838699999999996</v>
      </c>
      <c r="G61" s="103">
        <v>0.79980700000000005</v>
      </c>
      <c r="H61" s="103">
        <v>0.80122400000000005</v>
      </c>
      <c r="I61" s="103">
        <v>0.80286400000000002</v>
      </c>
      <c r="J61" s="103">
        <v>0.80449199999999998</v>
      </c>
      <c r="K61" s="103">
        <v>0.80619600000000002</v>
      </c>
      <c r="L61" s="103">
        <v>0.80784299999999998</v>
      </c>
      <c r="M61" s="103">
        <v>0.80929899999999999</v>
      </c>
      <c r="N61" s="103">
        <v>0.81080099999999999</v>
      </c>
      <c r="O61" s="103">
        <v>0.812442</v>
      </c>
      <c r="P61" s="103">
        <v>0.81401400000000002</v>
      </c>
      <c r="Q61" s="103">
        <v>0.815581</v>
      </c>
      <c r="R61" s="103">
        <v>0.81720800000000005</v>
      </c>
      <c r="S61" s="103">
        <v>0.81876899999999997</v>
      </c>
      <c r="T61" s="103">
        <v>0.82031299999999996</v>
      </c>
      <c r="U61" s="103">
        <v>0.821855</v>
      </c>
      <c r="V61" s="103">
        <v>0.82340500000000005</v>
      </c>
      <c r="W61" s="103">
        <v>0.82492100000000002</v>
      </c>
      <c r="X61" s="103">
        <v>0.82645900000000005</v>
      </c>
      <c r="Y61" s="103">
        <v>0.82791400000000004</v>
      </c>
      <c r="Z61" s="103">
        <v>0.82927600000000001</v>
      </c>
      <c r="AA61" s="103">
        <v>0.83060500000000004</v>
      </c>
      <c r="AB61" s="103">
        <v>0.83200300000000005</v>
      </c>
      <c r="AC61" s="103">
        <v>0.83339300000000005</v>
      </c>
      <c r="AD61" s="103">
        <v>0.83464499999999997</v>
      </c>
      <c r="AE61" s="103">
        <v>0.83576600000000001</v>
      </c>
      <c r="AF61" s="103">
        <v>0.83681000000000005</v>
      </c>
      <c r="AG61" s="90">
        <v>2E-3</v>
      </c>
    </row>
    <row r="62" spans="1:33">
      <c r="A62" s="87" t="s">
        <v>261</v>
      </c>
      <c r="B62" s="103">
        <v>0.25033899999999998</v>
      </c>
      <c r="C62" s="103">
        <v>0.240948</v>
      </c>
      <c r="D62" s="103">
        <v>0.24152499999999999</v>
      </c>
      <c r="E62" s="103">
        <v>0.243148</v>
      </c>
      <c r="F62" s="103">
        <v>0.24533199999999999</v>
      </c>
      <c r="G62" s="103">
        <v>0.24763499999999999</v>
      </c>
      <c r="H62" s="103">
        <v>0.24998100000000001</v>
      </c>
      <c r="I62" s="103">
        <v>0.25211</v>
      </c>
      <c r="J62" s="103">
        <v>0.25418400000000002</v>
      </c>
      <c r="K62" s="103">
        <v>0.25623800000000002</v>
      </c>
      <c r="L62" s="103">
        <v>0.258156</v>
      </c>
      <c r="M62" s="103">
        <v>0.25991599999999998</v>
      </c>
      <c r="N62" s="103">
        <v>0.26166499999999998</v>
      </c>
      <c r="O62" s="103">
        <v>0.26341999999999999</v>
      </c>
      <c r="P62" s="103">
        <v>0.265181</v>
      </c>
      <c r="Q62" s="103">
        <v>0.26699299999999998</v>
      </c>
      <c r="R62" s="103">
        <v>0.26869900000000002</v>
      </c>
      <c r="S62" s="103">
        <v>0.27049400000000001</v>
      </c>
      <c r="T62" s="103">
        <v>0.27224300000000001</v>
      </c>
      <c r="U62" s="103">
        <v>0.27389200000000002</v>
      </c>
      <c r="V62" s="103">
        <v>0.275559</v>
      </c>
      <c r="W62" s="103">
        <v>0.27717599999999998</v>
      </c>
      <c r="X62" s="103">
        <v>0.2787</v>
      </c>
      <c r="Y62" s="103">
        <v>0.28008100000000002</v>
      </c>
      <c r="Z62" s="103">
        <v>0.28144000000000002</v>
      </c>
      <c r="AA62" s="103">
        <v>0.28270200000000001</v>
      </c>
      <c r="AB62" s="103">
        <v>0.28384500000000001</v>
      </c>
      <c r="AC62" s="103">
        <v>0.28491899999999998</v>
      </c>
      <c r="AD62" s="103">
        <v>0.28592299999999998</v>
      </c>
      <c r="AE62" s="103">
        <v>0.28678300000000001</v>
      </c>
      <c r="AF62" s="103">
        <v>0.28753600000000001</v>
      </c>
      <c r="AG62" s="90">
        <v>6.0000000000000001E-3</v>
      </c>
    </row>
    <row r="63" spans="1:33">
      <c r="A63" s="87" t="s">
        <v>262</v>
      </c>
      <c r="B63" s="103">
        <v>2.515218</v>
      </c>
      <c r="C63" s="103">
        <v>2.4649670000000001</v>
      </c>
      <c r="D63" s="103">
        <v>2.4816799999999999</v>
      </c>
      <c r="E63" s="103">
        <v>2.5007000000000001</v>
      </c>
      <c r="F63" s="103">
        <v>2.5258759999999998</v>
      </c>
      <c r="G63" s="103">
        <v>2.551593</v>
      </c>
      <c r="H63" s="103">
        <v>2.5751080000000002</v>
      </c>
      <c r="I63" s="103">
        <v>2.596209</v>
      </c>
      <c r="J63" s="103">
        <v>2.615777</v>
      </c>
      <c r="K63" s="103">
        <v>2.6344340000000002</v>
      </c>
      <c r="L63" s="103">
        <v>2.6509719999999999</v>
      </c>
      <c r="M63" s="103">
        <v>2.66852</v>
      </c>
      <c r="N63" s="103">
        <v>2.685867</v>
      </c>
      <c r="O63" s="103">
        <v>2.7028859999999999</v>
      </c>
      <c r="P63" s="103">
        <v>2.7178369999999998</v>
      </c>
      <c r="Q63" s="103">
        <v>2.7323849999999998</v>
      </c>
      <c r="R63" s="103">
        <v>2.744907</v>
      </c>
      <c r="S63" s="103">
        <v>2.7560660000000001</v>
      </c>
      <c r="T63" s="103">
        <v>2.7663869999999999</v>
      </c>
      <c r="U63" s="103">
        <v>2.7756479999999999</v>
      </c>
      <c r="V63" s="103">
        <v>2.7844769999999999</v>
      </c>
      <c r="W63" s="103">
        <v>2.7926989999999998</v>
      </c>
      <c r="X63" s="103">
        <v>2.8002370000000001</v>
      </c>
      <c r="Y63" s="103">
        <v>2.8068650000000002</v>
      </c>
      <c r="Z63" s="103">
        <v>2.812462</v>
      </c>
      <c r="AA63" s="103">
        <v>2.817313</v>
      </c>
      <c r="AB63" s="103">
        <v>2.8251059999999999</v>
      </c>
      <c r="AC63" s="103">
        <v>2.8332769999999998</v>
      </c>
      <c r="AD63" s="103">
        <v>2.8412959999999998</v>
      </c>
      <c r="AE63" s="103">
        <v>2.848732</v>
      </c>
      <c r="AF63" s="103">
        <v>2.856716</v>
      </c>
      <c r="AG63" s="90">
        <v>5.0000000000000001E-3</v>
      </c>
    </row>
    <row r="64" spans="1:33">
      <c r="A64" s="87" t="s">
        <v>263</v>
      </c>
      <c r="B64" s="103">
        <v>0.76377300000000004</v>
      </c>
      <c r="C64" s="103">
        <v>0.73922699999999997</v>
      </c>
      <c r="D64" s="103">
        <v>0.70086400000000004</v>
      </c>
      <c r="E64" s="103">
        <v>0.682925</v>
      </c>
      <c r="F64" s="103">
        <v>0.66698500000000005</v>
      </c>
      <c r="G64" s="103">
        <v>0.65270099999999998</v>
      </c>
      <c r="H64" s="103">
        <v>0.64399600000000001</v>
      </c>
      <c r="I64" s="103">
        <v>0.63929199999999997</v>
      </c>
      <c r="J64" s="103">
        <v>0.63725200000000004</v>
      </c>
      <c r="K64" s="103">
        <v>0.63594899999999999</v>
      </c>
      <c r="L64" s="103">
        <v>0.63460499999999997</v>
      </c>
      <c r="M64" s="103">
        <v>0.63321799999999995</v>
      </c>
      <c r="N64" s="103">
        <v>0.63180099999999995</v>
      </c>
      <c r="O64" s="103">
        <v>0.63473199999999996</v>
      </c>
      <c r="P64" s="103">
        <v>0.64048899999999998</v>
      </c>
      <c r="Q64" s="103">
        <v>0.64656000000000002</v>
      </c>
      <c r="R64" s="103">
        <v>0.65291999999999994</v>
      </c>
      <c r="S64" s="103">
        <v>0.65952699999999997</v>
      </c>
      <c r="T64" s="103">
        <v>0.66639700000000002</v>
      </c>
      <c r="U64" s="103">
        <v>0.67350100000000002</v>
      </c>
      <c r="V64" s="103">
        <v>0.68083800000000005</v>
      </c>
      <c r="W64" s="103">
        <v>0.68837599999999999</v>
      </c>
      <c r="X64" s="103">
        <v>0.69616199999999995</v>
      </c>
      <c r="Y64" s="103">
        <v>0.70416100000000004</v>
      </c>
      <c r="Z64" s="103">
        <v>0.71239300000000005</v>
      </c>
      <c r="AA64" s="103">
        <v>0.72085299999999997</v>
      </c>
      <c r="AB64" s="103">
        <v>0.72950999999999999</v>
      </c>
      <c r="AC64" s="103">
        <v>0.73842799999999997</v>
      </c>
      <c r="AD64" s="103">
        <v>0.74753899999999995</v>
      </c>
      <c r="AE64" s="103">
        <v>0.75683999999999996</v>
      </c>
      <c r="AF64" s="103">
        <v>0.76632800000000001</v>
      </c>
      <c r="AG64" s="90">
        <v>1E-3</v>
      </c>
    </row>
    <row r="65" spans="1:33">
      <c r="A65" s="87" t="s">
        <v>264</v>
      </c>
      <c r="B65" s="103">
        <v>0.141178</v>
      </c>
      <c r="C65" s="103">
        <v>0.13342000000000001</v>
      </c>
      <c r="D65" s="103">
        <v>0.118621</v>
      </c>
      <c r="E65" s="103">
        <v>0.11477</v>
      </c>
      <c r="F65" s="103">
        <v>0.11626599999999999</v>
      </c>
      <c r="G65" s="103">
        <v>0.117688</v>
      </c>
      <c r="H65" s="103">
        <v>0.118765</v>
      </c>
      <c r="I65" s="103">
        <v>0.119615</v>
      </c>
      <c r="J65" s="103">
        <v>0.120245</v>
      </c>
      <c r="K65" s="103">
        <v>0.120785</v>
      </c>
      <c r="L65" s="103">
        <v>0.121201</v>
      </c>
      <c r="M65" s="103">
        <v>0.12160899999999999</v>
      </c>
      <c r="N65" s="103">
        <v>0.121985</v>
      </c>
      <c r="O65" s="103">
        <v>0.122277</v>
      </c>
      <c r="P65" s="103">
        <v>0.12256400000000001</v>
      </c>
      <c r="Q65" s="103">
        <v>0.12289799999999999</v>
      </c>
      <c r="R65" s="103">
        <v>0.123222</v>
      </c>
      <c r="S65" s="103">
        <v>0.123526</v>
      </c>
      <c r="T65" s="103">
        <v>0.12381300000000001</v>
      </c>
      <c r="U65" s="103">
        <v>0.12411700000000001</v>
      </c>
      <c r="V65" s="103">
        <v>0.124472</v>
      </c>
      <c r="W65" s="103">
        <v>0.124844</v>
      </c>
      <c r="X65" s="103">
        <v>0.12517600000000001</v>
      </c>
      <c r="Y65" s="103">
        <v>0.12550700000000001</v>
      </c>
      <c r="Z65" s="103">
        <v>0.125892</v>
      </c>
      <c r="AA65" s="103">
        <v>0.126302</v>
      </c>
      <c r="AB65" s="103">
        <v>0.126718</v>
      </c>
      <c r="AC65" s="103">
        <v>0.12717999999999999</v>
      </c>
      <c r="AD65" s="103">
        <v>0.12767200000000001</v>
      </c>
      <c r="AE65" s="103">
        <v>0.12817999999999999</v>
      </c>
      <c r="AF65" s="103">
        <v>0.12868499999999999</v>
      </c>
      <c r="AG65" s="90">
        <v>-1E-3</v>
      </c>
    </row>
    <row r="66" spans="1:33">
      <c r="A66" s="87" t="s">
        <v>265</v>
      </c>
      <c r="B66" s="103">
        <v>0.68422799999999995</v>
      </c>
      <c r="C66" s="103">
        <v>0.69939499999999999</v>
      </c>
      <c r="D66" s="103">
        <v>0.71538299999999999</v>
      </c>
      <c r="E66" s="103">
        <v>0.72423000000000004</v>
      </c>
      <c r="F66" s="103">
        <v>0.70220899999999997</v>
      </c>
      <c r="G66" s="103">
        <v>0.69249899999999998</v>
      </c>
      <c r="H66" s="103">
        <v>0.708893</v>
      </c>
      <c r="I66" s="103">
        <v>0.70715899999999998</v>
      </c>
      <c r="J66" s="103">
        <v>0.70892999999999995</v>
      </c>
      <c r="K66" s="103">
        <v>0.71060400000000001</v>
      </c>
      <c r="L66" s="103">
        <v>0.71162999999999998</v>
      </c>
      <c r="M66" s="103">
        <v>0.71204100000000004</v>
      </c>
      <c r="N66" s="103">
        <v>0.71564300000000003</v>
      </c>
      <c r="O66" s="103">
        <v>0.71782199999999996</v>
      </c>
      <c r="P66" s="103">
        <v>0.72435400000000005</v>
      </c>
      <c r="Q66" s="103">
        <v>0.72997999999999996</v>
      </c>
      <c r="R66" s="103">
        <v>0.73525399999999996</v>
      </c>
      <c r="S66" s="103">
        <v>0.73921099999999995</v>
      </c>
      <c r="T66" s="103">
        <v>0.738734</v>
      </c>
      <c r="U66" s="103">
        <v>0.73910699999999996</v>
      </c>
      <c r="V66" s="103">
        <v>0.74127299999999996</v>
      </c>
      <c r="W66" s="103">
        <v>0.74526000000000003</v>
      </c>
      <c r="X66" s="103">
        <v>0.74978800000000001</v>
      </c>
      <c r="Y66" s="103">
        <v>0.75326599999999999</v>
      </c>
      <c r="Z66" s="103">
        <v>0.75661299999999998</v>
      </c>
      <c r="AA66" s="103">
        <v>0.76031599999999999</v>
      </c>
      <c r="AB66" s="103">
        <v>0.76346099999999995</v>
      </c>
      <c r="AC66" s="103">
        <v>0.765764</v>
      </c>
      <c r="AD66" s="103">
        <v>0.76983900000000005</v>
      </c>
      <c r="AE66" s="103">
        <v>0.77320199999999994</v>
      </c>
      <c r="AF66" s="103">
        <v>0.77635299999999996</v>
      </c>
      <c r="AG66" s="90">
        <v>4.0000000000000001E-3</v>
      </c>
    </row>
    <row r="67" spans="1:33">
      <c r="A67" s="89" t="s">
        <v>266</v>
      </c>
      <c r="B67" s="91">
        <v>27.524712000000001</v>
      </c>
      <c r="C67" s="91">
        <v>27.085766</v>
      </c>
      <c r="D67" s="91">
        <v>26.730633000000001</v>
      </c>
      <c r="E67" s="91">
        <v>26.787277</v>
      </c>
      <c r="F67" s="91">
        <v>26.979595</v>
      </c>
      <c r="G67" s="91">
        <v>27.134819</v>
      </c>
      <c r="H67" s="91">
        <v>27.226790999999999</v>
      </c>
      <c r="I67" s="91">
        <v>27.275852</v>
      </c>
      <c r="J67" s="91">
        <v>27.298110999999999</v>
      </c>
      <c r="K67" s="91">
        <v>27.297518</v>
      </c>
      <c r="L67" s="91">
        <v>27.235334000000002</v>
      </c>
      <c r="M67" s="91">
        <v>27.143651999999999</v>
      </c>
      <c r="N67" s="91">
        <v>27.059044</v>
      </c>
      <c r="O67" s="91">
        <v>26.942005000000002</v>
      </c>
      <c r="P67" s="91">
        <v>26.812073000000002</v>
      </c>
      <c r="Q67" s="91">
        <v>26.678598000000001</v>
      </c>
      <c r="R67" s="91">
        <v>26.552855999999998</v>
      </c>
      <c r="S67" s="91">
        <v>26.440114999999999</v>
      </c>
      <c r="T67" s="91">
        <v>26.342537</v>
      </c>
      <c r="U67" s="91">
        <v>26.269431999999998</v>
      </c>
      <c r="V67" s="91">
        <v>26.244938000000001</v>
      </c>
      <c r="W67" s="91">
        <v>26.246068999999999</v>
      </c>
      <c r="X67" s="91">
        <v>26.256015999999999</v>
      </c>
      <c r="Y67" s="91">
        <v>26.281500000000001</v>
      </c>
      <c r="Z67" s="91">
        <v>26.346582000000001</v>
      </c>
      <c r="AA67" s="91">
        <v>26.430997999999999</v>
      </c>
      <c r="AB67" s="91">
        <v>26.523716</v>
      </c>
      <c r="AC67" s="91">
        <v>26.652526999999999</v>
      </c>
      <c r="AD67" s="91">
        <v>26.802855000000001</v>
      </c>
      <c r="AE67" s="91">
        <v>26.965366</v>
      </c>
      <c r="AF67" s="91">
        <v>27.144780999999998</v>
      </c>
      <c r="AG67" s="92">
        <v>0</v>
      </c>
    </row>
    <row r="68" spans="1:33">
      <c r="A68" s="87"/>
    </row>
    <row r="69" spans="1:33">
      <c r="A69" s="89" t="s">
        <v>267</v>
      </c>
    </row>
    <row r="70" spans="1:33">
      <c r="A70" s="87" t="s">
        <v>253</v>
      </c>
      <c r="B70" s="103">
        <v>8.3741990000000008</v>
      </c>
      <c r="C70" s="103">
        <v>8.4552849999999999</v>
      </c>
      <c r="D70" s="103">
        <v>8.402018</v>
      </c>
      <c r="E70" s="103">
        <v>8.2068729999999999</v>
      </c>
      <c r="F70" s="103">
        <v>8.0963119999999993</v>
      </c>
      <c r="G70" s="103">
        <v>8.0611840000000008</v>
      </c>
      <c r="H70" s="103">
        <v>8.0379380000000005</v>
      </c>
      <c r="I70" s="103">
        <v>8.0052800000000008</v>
      </c>
      <c r="J70" s="103">
        <v>7.9643540000000002</v>
      </c>
      <c r="K70" s="103">
        <v>7.9173030000000004</v>
      </c>
      <c r="L70" s="103">
        <v>7.8497300000000001</v>
      </c>
      <c r="M70" s="103">
        <v>7.7671900000000003</v>
      </c>
      <c r="N70" s="103">
        <v>7.6813750000000001</v>
      </c>
      <c r="O70" s="103">
        <v>7.583043</v>
      </c>
      <c r="P70" s="103">
        <v>7.4853500000000004</v>
      </c>
      <c r="Q70" s="103">
        <v>7.3766679999999996</v>
      </c>
      <c r="R70" s="103">
        <v>7.2771520000000001</v>
      </c>
      <c r="S70" s="103">
        <v>7.1954140000000004</v>
      </c>
      <c r="T70" s="103">
        <v>7.1203409999999998</v>
      </c>
      <c r="U70" s="103">
        <v>7.0509120000000003</v>
      </c>
      <c r="V70" s="103">
        <v>6.9906779999999999</v>
      </c>
      <c r="W70" s="103">
        <v>6.9397929999999999</v>
      </c>
      <c r="X70" s="103">
        <v>6.896763</v>
      </c>
      <c r="Y70" s="103">
        <v>6.858136</v>
      </c>
      <c r="Z70" s="103">
        <v>6.827877</v>
      </c>
      <c r="AA70" s="103">
        <v>6.804195</v>
      </c>
      <c r="AB70" s="103">
        <v>6.7873250000000001</v>
      </c>
      <c r="AC70" s="103">
        <v>6.7782780000000002</v>
      </c>
      <c r="AD70" s="103">
        <v>6.776999</v>
      </c>
      <c r="AE70" s="103">
        <v>6.7822269999999998</v>
      </c>
      <c r="AF70" s="103">
        <v>6.7976429999999999</v>
      </c>
      <c r="AG70" s="90">
        <v>-7.0000000000000001E-3</v>
      </c>
    </row>
    <row r="71" spans="1:33">
      <c r="A71" s="87" t="s">
        <v>254</v>
      </c>
      <c r="B71" s="103">
        <v>0.28016200000000002</v>
      </c>
      <c r="C71" s="103">
        <v>0.281032</v>
      </c>
      <c r="D71" s="103">
        <v>0.27804099999999998</v>
      </c>
      <c r="E71" s="103">
        <v>0.27607999999999999</v>
      </c>
      <c r="F71" s="103">
        <v>0.27913500000000002</v>
      </c>
      <c r="G71" s="103">
        <v>0.28361700000000001</v>
      </c>
      <c r="H71" s="103">
        <v>0.28601300000000002</v>
      </c>
      <c r="I71" s="103">
        <v>0.28799000000000002</v>
      </c>
      <c r="J71" s="103">
        <v>0.28911900000000001</v>
      </c>
      <c r="K71" s="103">
        <v>0.289991</v>
      </c>
      <c r="L71" s="103">
        <v>0.28979899999999997</v>
      </c>
      <c r="M71" s="103">
        <v>0.28856100000000001</v>
      </c>
      <c r="N71" s="103">
        <v>0.28765200000000002</v>
      </c>
      <c r="O71" s="103">
        <v>0.28556500000000001</v>
      </c>
      <c r="P71" s="103">
        <v>0.28320099999999998</v>
      </c>
      <c r="Q71" s="103">
        <v>0.28074700000000002</v>
      </c>
      <c r="R71" s="103">
        <v>0.27864299999999997</v>
      </c>
      <c r="S71" s="103">
        <v>0.27675899999999998</v>
      </c>
      <c r="T71" s="103">
        <v>0.27515699999999998</v>
      </c>
      <c r="U71" s="103">
        <v>0.27404400000000001</v>
      </c>
      <c r="V71" s="103">
        <v>0.27377600000000002</v>
      </c>
      <c r="W71" s="103">
        <v>0.27398400000000001</v>
      </c>
      <c r="X71" s="103">
        <v>0.27420600000000001</v>
      </c>
      <c r="Y71" s="103">
        <v>0.274785</v>
      </c>
      <c r="Z71" s="103">
        <v>0.27623599999999998</v>
      </c>
      <c r="AA71" s="103">
        <v>0.27819500000000003</v>
      </c>
      <c r="AB71" s="103">
        <v>0.28053600000000001</v>
      </c>
      <c r="AC71" s="103">
        <v>0.283495</v>
      </c>
      <c r="AD71" s="103">
        <v>0.28679199999999999</v>
      </c>
      <c r="AE71" s="103">
        <v>0.29024499999999998</v>
      </c>
      <c r="AF71" s="103">
        <v>0.29400500000000002</v>
      </c>
      <c r="AG71" s="90">
        <v>2E-3</v>
      </c>
    </row>
    <row r="72" spans="1:33">
      <c r="A72" s="87" t="s">
        <v>255</v>
      </c>
      <c r="B72" s="103">
        <v>0.121862</v>
      </c>
      <c r="C72" s="103">
        <v>0.120187</v>
      </c>
      <c r="D72" s="103">
        <v>0.11468399999999999</v>
      </c>
      <c r="E72" s="103">
        <v>0.11898599999999999</v>
      </c>
      <c r="F72" s="103">
        <v>0.12327299999999999</v>
      </c>
      <c r="G72" s="103">
        <v>0.124323</v>
      </c>
      <c r="H72" s="103">
        <v>0.12539400000000001</v>
      </c>
      <c r="I72" s="103">
        <v>0.12648200000000001</v>
      </c>
      <c r="J72" s="103">
        <v>0.12758900000000001</v>
      </c>
      <c r="K72" s="103">
        <v>0.12871099999999999</v>
      </c>
      <c r="L72" s="103">
        <v>0.12984999999999999</v>
      </c>
      <c r="M72" s="103">
        <v>0.13098099999999999</v>
      </c>
      <c r="N72" s="103">
        <v>0.13212099999999999</v>
      </c>
      <c r="O72" s="103">
        <v>0.133267</v>
      </c>
      <c r="P72" s="103">
        <v>0.13442000000000001</v>
      </c>
      <c r="Q72" s="103">
        <v>0.13558100000000001</v>
      </c>
      <c r="R72" s="103">
        <v>0.13675000000000001</v>
      </c>
      <c r="S72" s="103">
        <v>0.13792599999999999</v>
      </c>
      <c r="T72" s="103">
        <v>0.13911000000000001</v>
      </c>
      <c r="U72" s="103">
        <v>0.14030200000000001</v>
      </c>
      <c r="V72" s="103">
        <v>0.14150199999999999</v>
      </c>
      <c r="W72" s="103">
        <v>0.14271</v>
      </c>
      <c r="X72" s="103">
        <v>0.143927</v>
      </c>
      <c r="Y72" s="103">
        <v>0.145152</v>
      </c>
      <c r="Z72" s="103">
        <v>0.14638699999999999</v>
      </c>
      <c r="AA72" s="103">
        <v>0.14763000000000001</v>
      </c>
      <c r="AB72" s="103">
        <v>0.14888299999999999</v>
      </c>
      <c r="AC72" s="103">
        <v>0.150141</v>
      </c>
      <c r="AD72" s="103">
        <v>0.15140500000000001</v>
      </c>
      <c r="AE72" s="103">
        <v>0.15268000000000001</v>
      </c>
      <c r="AF72" s="103">
        <v>0.15396399999999999</v>
      </c>
      <c r="AG72" s="90">
        <v>8.9999999999999993E-3</v>
      </c>
    </row>
    <row r="73" spans="1:33">
      <c r="A73" s="87" t="s">
        <v>256</v>
      </c>
      <c r="B73" s="103">
        <v>2.3367930000000001</v>
      </c>
      <c r="C73" s="103">
        <v>2.386155</v>
      </c>
      <c r="D73" s="103">
        <v>2.3624990000000001</v>
      </c>
      <c r="E73" s="103">
        <v>2.5075639999999999</v>
      </c>
      <c r="F73" s="103">
        <v>2.6683599999999998</v>
      </c>
      <c r="G73" s="103">
        <v>2.7607569999999999</v>
      </c>
      <c r="H73" s="103">
        <v>2.8123239999999998</v>
      </c>
      <c r="I73" s="103">
        <v>2.8494519999999999</v>
      </c>
      <c r="J73" s="103">
        <v>2.8804789999999998</v>
      </c>
      <c r="K73" s="103">
        <v>2.9072019999999998</v>
      </c>
      <c r="L73" s="103">
        <v>2.9234770000000001</v>
      </c>
      <c r="M73" s="103">
        <v>2.9403519999999999</v>
      </c>
      <c r="N73" s="103">
        <v>2.964515</v>
      </c>
      <c r="O73" s="103">
        <v>2.9791460000000001</v>
      </c>
      <c r="P73" s="103">
        <v>2.991412</v>
      </c>
      <c r="Q73" s="103">
        <v>3.0064549999999999</v>
      </c>
      <c r="R73" s="103">
        <v>3.018653</v>
      </c>
      <c r="S73" s="103">
        <v>3.0280860000000001</v>
      </c>
      <c r="T73" s="103">
        <v>3.036835</v>
      </c>
      <c r="U73" s="103">
        <v>3.051024</v>
      </c>
      <c r="V73" s="103">
        <v>3.0761530000000001</v>
      </c>
      <c r="W73" s="103">
        <v>3.1065559999999999</v>
      </c>
      <c r="X73" s="103">
        <v>3.1343209999999999</v>
      </c>
      <c r="Y73" s="103">
        <v>3.1657739999999999</v>
      </c>
      <c r="Z73" s="103">
        <v>3.2072099999999999</v>
      </c>
      <c r="AA73" s="103">
        <v>3.2520820000000001</v>
      </c>
      <c r="AB73" s="103">
        <v>3.2976399999999999</v>
      </c>
      <c r="AC73" s="103">
        <v>3.3491140000000001</v>
      </c>
      <c r="AD73" s="103">
        <v>3.4033519999999999</v>
      </c>
      <c r="AE73" s="103">
        <v>3.4590700000000001</v>
      </c>
      <c r="AF73" s="103">
        <v>3.516133</v>
      </c>
      <c r="AG73" s="90">
        <v>1.2999999999999999E-2</v>
      </c>
    </row>
    <row r="74" spans="1:33">
      <c r="A74" s="87" t="s">
        <v>257</v>
      </c>
      <c r="B74" s="103">
        <v>2.2047000000000001E-2</v>
      </c>
      <c r="C74" s="103">
        <v>2.2463E-2</v>
      </c>
      <c r="D74" s="103">
        <v>2.2242999999999999E-2</v>
      </c>
      <c r="E74" s="103">
        <v>2.2914E-2</v>
      </c>
      <c r="F74" s="103">
        <v>2.3512000000000002E-2</v>
      </c>
      <c r="G74" s="103">
        <v>2.3691E-2</v>
      </c>
      <c r="H74" s="103">
        <v>2.3892E-2</v>
      </c>
      <c r="I74" s="103">
        <v>2.4097E-2</v>
      </c>
      <c r="J74" s="103">
        <v>2.4336E-2</v>
      </c>
      <c r="K74" s="103">
        <v>2.4611999999999998E-2</v>
      </c>
      <c r="L74" s="103">
        <v>2.4891E-2</v>
      </c>
      <c r="M74" s="103">
        <v>2.5182E-2</v>
      </c>
      <c r="N74" s="103">
        <v>2.5475999999999999E-2</v>
      </c>
      <c r="O74" s="103">
        <v>2.5739000000000001E-2</v>
      </c>
      <c r="P74" s="103">
        <v>2.5999999999999999E-2</v>
      </c>
      <c r="Q74" s="103">
        <v>2.6256999999999999E-2</v>
      </c>
      <c r="R74" s="103">
        <v>2.6494E-2</v>
      </c>
      <c r="S74" s="103">
        <v>2.6759000000000002E-2</v>
      </c>
      <c r="T74" s="103">
        <v>2.7022000000000001E-2</v>
      </c>
      <c r="U74" s="103">
        <v>2.7283000000000002E-2</v>
      </c>
      <c r="V74" s="103">
        <v>2.7560000000000001E-2</v>
      </c>
      <c r="W74" s="103">
        <v>2.7845000000000002E-2</v>
      </c>
      <c r="X74" s="103">
        <v>2.8122999999999999E-2</v>
      </c>
      <c r="Y74" s="103">
        <v>2.8413999999999998E-2</v>
      </c>
      <c r="Z74" s="103">
        <v>2.8724E-2</v>
      </c>
      <c r="AA74" s="103">
        <v>2.9045000000000001E-2</v>
      </c>
      <c r="AB74" s="103">
        <v>2.9325E-2</v>
      </c>
      <c r="AC74" s="103">
        <v>2.9585E-2</v>
      </c>
      <c r="AD74" s="103">
        <v>2.9856000000000001E-2</v>
      </c>
      <c r="AE74" s="103">
        <v>3.014E-2</v>
      </c>
      <c r="AF74" s="103">
        <v>3.0436000000000001E-2</v>
      </c>
      <c r="AG74" s="90">
        <v>1.0999999999999999E-2</v>
      </c>
    </row>
    <row r="75" spans="1:33">
      <c r="A75" s="87" t="s">
        <v>258</v>
      </c>
      <c r="B75" s="103">
        <v>0.218833</v>
      </c>
      <c r="C75" s="103">
        <v>0.21504200000000001</v>
      </c>
      <c r="D75" s="103">
        <v>0.186917</v>
      </c>
      <c r="E75" s="103">
        <v>0.201818</v>
      </c>
      <c r="F75" s="103">
        <v>0.20954100000000001</v>
      </c>
      <c r="G75" s="103">
        <v>0.217057</v>
      </c>
      <c r="H75" s="103">
        <v>0.213389</v>
      </c>
      <c r="I75" s="103">
        <v>0.219664</v>
      </c>
      <c r="J75" s="103">
        <v>0.22609199999999999</v>
      </c>
      <c r="K75" s="103">
        <v>0.231574</v>
      </c>
      <c r="L75" s="103">
        <v>0.23555200000000001</v>
      </c>
      <c r="M75" s="103">
        <v>0.23868600000000001</v>
      </c>
      <c r="N75" s="103">
        <v>0.24224499999999999</v>
      </c>
      <c r="O75" s="103">
        <v>0.24607499999999999</v>
      </c>
      <c r="P75" s="103">
        <v>0.24764600000000001</v>
      </c>
      <c r="Q75" s="103">
        <v>0.249944</v>
      </c>
      <c r="R75" s="103">
        <v>0.25253599999999998</v>
      </c>
      <c r="S75" s="103">
        <v>0.25323200000000001</v>
      </c>
      <c r="T75" s="103">
        <v>0.25473899999999999</v>
      </c>
      <c r="U75" s="103">
        <v>0.25583899999999998</v>
      </c>
      <c r="V75" s="103">
        <v>0.25901200000000002</v>
      </c>
      <c r="W75" s="103">
        <v>0.25946399999999997</v>
      </c>
      <c r="X75" s="103">
        <v>0.26003599999999999</v>
      </c>
      <c r="Y75" s="103">
        <v>0.26098100000000002</v>
      </c>
      <c r="Z75" s="103">
        <v>0.26337899999999997</v>
      </c>
      <c r="AA75" s="103">
        <v>0.265656</v>
      </c>
      <c r="AB75" s="103">
        <v>0.26470700000000003</v>
      </c>
      <c r="AC75" s="103">
        <v>0.26730999999999999</v>
      </c>
      <c r="AD75" s="103">
        <v>0.26883899999999999</v>
      </c>
      <c r="AE75" s="103">
        <v>0.26920300000000003</v>
      </c>
      <c r="AF75" s="103">
        <v>0.27076899999999998</v>
      </c>
      <c r="AG75" s="90">
        <v>8.0000000000000002E-3</v>
      </c>
    </row>
    <row r="76" spans="1:33">
      <c r="A76" s="87" t="s">
        <v>259</v>
      </c>
      <c r="B76" s="103">
        <v>9.8139000000000004E-2</v>
      </c>
      <c r="C76" s="103">
        <v>9.9124000000000004E-2</v>
      </c>
      <c r="D76" s="103">
        <v>9.1887999999999997E-2</v>
      </c>
      <c r="E76" s="103">
        <v>9.9416000000000004E-2</v>
      </c>
      <c r="F76" s="103">
        <v>0.10781499999999999</v>
      </c>
      <c r="G76" s="103">
        <v>0.1099</v>
      </c>
      <c r="H76" s="103">
        <v>0.112623</v>
      </c>
      <c r="I76" s="103">
        <v>0.11394600000000001</v>
      </c>
      <c r="J76" s="103">
        <v>0.114908</v>
      </c>
      <c r="K76" s="103">
        <v>0.116089</v>
      </c>
      <c r="L76" s="103">
        <v>0.116158</v>
      </c>
      <c r="M76" s="103">
        <v>0.115892</v>
      </c>
      <c r="N76" s="103">
        <v>0.115332</v>
      </c>
      <c r="O76" s="103">
        <v>0.114713</v>
      </c>
      <c r="P76" s="103">
        <v>0.113734</v>
      </c>
      <c r="Q76" s="103">
        <v>0.112803</v>
      </c>
      <c r="R76" s="103">
        <v>0.111039</v>
      </c>
      <c r="S76" s="103">
        <v>0.10997800000000001</v>
      </c>
      <c r="T76" s="103">
        <v>0.108991</v>
      </c>
      <c r="U76" s="103">
        <v>0.10811800000000001</v>
      </c>
      <c r="V76" s="103">
        <v>0.107789</v>
      </c>
      <c r="W76" s="103">
        <v>0.107864</v>
      </c>
      <c r="X76" s="103">
        <v>0.107802</v>
      </c>
      <c r="Y76" s="103">
        <v>0.10796500000000001</v>
      </c>
      <c r="Z76" s="103">
        <v>0.10795200000000001</v>
      </c>
      <c r="AA76" s="103">
        <v>0.107791</v>
      </c>
      <c r="AB76" s="103">
        <v>0.10694099999999999</v>
      </c>
      <c r="AC76" s="103">
        <v>0.106632</v>
      </c>
      <c r="AD76" s="103">
        <v>0.10705000000000001</v>
      </c>
      <c r="AE76" s="103">
        <v>0.107862</v>
      </c>
      <c r="AF76" s="103">
        <v>0.108075</v>
      </c>
      <c r="AG76" s="90">
        <v>3.0000000000000001E-3</v>
      </c>
    </row>
    <row r="77" spans="1:33">
      <c r="A77" s="87" t="s">
        <v>260</v>
      </c>
      <c r="B77" s="103">
        <v>0.37104900000000002</v>
      </c>
      <c r="C77" s="103">
        <v>0.348547</v>
      </c>
      <c r="D77" s="103">
        <v>0.30310199999999998</v>
      </c>
      <c r="E77" s="103">
        <v>0.326542</v>
      </c>
      <c r="F77" s="103">
        <v>0.35003000000000001</v>
      </c>
      <c r="G77" s="103">
        <v>0.35065200000000002</v>
      </c>
      <c r="H77" s="103">
        <v>0.35127199999999997</v>
      </c>
      <c r="I77" s="103">
        <v>0.351989</v>
      </c>
      <c r="J77" s="103">
        <v>0.35270099999999999</v>
      </c>
      <c r="K77" s="103">
        <v>0.35344599999999998</v>
      </c>
      <c r="L77" s="103">
        <v>0.35416700000000001</v>
      </c>
      <c r="M77" s="103">
        <v>0.35480299999999998</v>
      </c>
      <c r="N77" s="103">
        <v>0.35546</v>
      </c>
      <c r="O77" s="103">
        <v>0.35617799999999999</v>
      </c>
      <c r="P77" s="103">
        <v>0.35686600000000002</v>
      </c>
      <c r="Q77" s="103">
        <v>0.35755100000000001</v>
      </c>
      <c r="R77" s="103">
        <v>0.358263</v>
      </c>
      <c r="S77" s="103">
        <v>0.35894500000000001</v>
      </c>
      <c r="T77" s="103">
        <v>0.35962100000000002</v>
      </c>
      <c r="U77" s="103">
        <v>0.36029499999999998</v>
      </c>
      <c r="V77" s="103">
        <v>0.36097299999999999</v>
      </c>
      <c r="W77" s="103">
        <v>0.36163699999999999</v>
      </c>
      <c r="X77" s="103">
        <v>0.36230899999999999</v>
      </c>
      <c r="Y77" s="103">
        <v>0.36294599999999999</v>
      </c>
      <c r="Z77" s="103">
        <v>0.36354199999999998</v>
      </c>
      <c r="AA77" s="103">
        <v>0.36412299999999997</v>
      </c>
      <c r="AB77" s="103">
        <v>0.364734</v>
      </c>
      <c r="AC77" s="103">
        <v>0.36534299999999997</v>
      </c>
      <c r="AD77" s="103">
        <v>0.36589100000000002</v>
      </c>
      <c r="AE77" s="103">
        <v>0.36638100000000001</v>
      </c>
      <c r="AF77" s="103">
        <v>0.366838</v>
      </c>
      <c r="AG77" s="90">
        <v>2E-3</v>
      </c>
    </row>
    <row r="78" spans="1:33">
      <c r="A78" s="87" t="s">
        <v>261</v>
      </c>
      <c r="B78" s="103">
        <v>0.13144700000000001</v>
      </c>
      <c r="C78" s="103">
        <v>0.13075800000000001</v>
      </c>
      <c r="D78" s="103">
        <v>0.131102</v>
      </c>
      <c r="E78" s="103">
        <v>0.132022</v>
      </c>
      <c r="F78" s="103">
        <v>0.133274</v>
      </c>
      <c r="G78" s="103">
        <v>0.13458100000000001</v>
      </c>
      <c r="H78" s="103">
        <v>0.135961</v>
      </c>
      <c r="I78" s="103">
        <v>0.13722899999999999</v>
      </c>
      <c r="J78" s="103">
        <v>0.13852500000000001</v>
      </c>
      <c r="K78" s="103">
        <v>0.13980899999999999</v>
      </c>
      <c r="L78" s="103">
        <v>0.14107</v>
      </c>
      <c r="M78" s="103">
        <v>0.14202899999999999</v>
      </c>
      <c r="N78" s="103">
        <v>0.142982</v>
      </c>
      <c r="O78" s="103">
        <v>0.14393900000000001</v>
      </c>
      <c r="P78" s="103">
        <v>0.144897</v>
      </c>
      <c r="Q78" s="103">
        <v>0.14588599999999999</v>
      </c>
      <c r="R78" s="103">
        <v>0.146816</v>
      </c>
      <c r="S78" s="103">
        <v>0.14779300000000001</v>
      </c>
      <c r="T78" s="103">
        <v>0.14874599999999999</v>
      </c>
      <c r="U78" s="103">
        <v>0.149644</v>
      </c>
      <c r="V78" s="103">
        <v>0.15055199999999999</v>
      </c>
      <c r="W78" s="103">
        <v>0.15143300000000001</v>
      </c>
      <c r="X78" s="103">
        <v>0.15226300000000001</v>
      </c>
      <c r="Y78" s="103">
        <v>0.15301500000000001</v>
      </c>
      <c r="Z78" s="103">
        <v>0.153755</v>
      </c>
      <c r="AA78" s="103">
        <v>0.15444099999999999</v>
      </c>
      <c r="AB78" s="103">
        <v>0.15506400000000001</v>
      </c>
      <c r="AC78" s="103">
        <v>0.15565100000000001</v>
      </c>
      <c r="AD78" s="103">
        <v>0.15620000000000001</v>
      </c>
      <c r="AE78" s="103">
        <v>0.15667</v>
      </c>
      <c r="AF78" s="103">
        <v>0.15708</v>
      </c>
      <c r="AG78" s="90">
        <v>6.0000000000000001E-3</v>
      </c>
    </row>
    <row r="79" spans="1:33">
      <c r="A79" s="87" t="s">
        <v>262</v>
      </c>
      <c r="B79" s="103">
        <v>1.2166939999999999</v>
      </c>
      <c r="C79" s="103">
        <v>1.1929730000000001</v>
      </c>
      <c r="D79" s="103">
        <v>1.2010479999999999</v>
      </c>
      <c r="E79" s="103">
        <v>1.21024</v>
      </c>
      <c r="F79" s="103">
        <v>1.2224090000000001</v>
      </c>
      <c r="G79" s="103">
        <v>1.2348399999999999</v>
      </c>
      <c r="H79" s="103">
        <v>1.246213</v>
      </c>
      <c r="I79" s="103">
        <v>1.256421</v>
      </c>
      <c r="J79" s="103">
        <v>1.265895</v>
      </c>
      <c r="K79" s="103">
        <v>1.274929</v>
      </c>
      <c r="L79" s="103">
        <v>1.282945</v>
      </c>
      <c r="M79" s="103">
        <v>1.291423</v>
      </c>
      <c r="N79" s="103">
        <v>1.299804</v>
      </c>
      <c r="O79" s="103">
        <v>1.3080270000000001</v>
      </c>
      <c r="P79" s="103">
        <v>1.31525</v>
      </c>
      <c r="Q79" s="103">
        <v>1.322279</v>
      </c>
      <c r="R79" s="103">
        <v>1.328328</v>
      </c>
      <c r="S79" s="103">
        <v>1.3337190000000001</v>
      </c>
      <c r="T79" s="103">
        <v>1.338706</v>
      </c>
      <c r="U79" s="103">
        <v>1.343181</v>
      </c>
      <c r="V79" s="103">
        <v>1.3474459999999999</v>
      </c>
      <c r="W79" s="103">
        <v>1.3514189999999999</v>
      </c>
      <c r="X79" s="103">
        <v>1.3550610000000001</v>
      </c>
      <c r="Y79" s="103">
        <v>1.358263</v>
      </c>
      <c r="Z79" s="103">
        <v>1.360967</v>
      </c>
      <c r="AA79" s="103">
        <v>1.36331</v>
      </c>
      <c r="AB79" s="103">
        <v>1.367076</v>
      </c>
      <c r="AC79" s="103">
        <v>1.371024</v>
      </c>
      <c r="AD79" s="103">
        <v>1.3748990000000001</v>
      </c>
      <c r="AE79" s="103">
        <v>1.3784920000000001</v>
      </c>
      <c r="AF79" s="103">
        <v>1.38235</v>
      </c>
      <c r="AG79" s="90">
        <v>5.0000000000000001E-3</v>
      </c>
    </row>
    <row r="80" spans="1:33">
      <c r="A80" s="87" t="s">
        <v>263</v>
      </c>
      <c r="B80" s="103">
        <v>0.36700500000000003</v>
      </c>
      <c r="C80" s="103">
        <v>0.35523300000000002</v>
      </c>
      <c r="D80" s="103">
        <v>0.33697100000000002</v>
      </c>
      <c r="E80" s="103">
        <v>0.32829799999999998</v>
      </c>
      <c r="F80" s="103">
        <v>0.32056400000000002</v>
      </c>
      <c r="G80" s="103">
        <v>0.31369799999999998</v>
      </c>
      <c r="H80" s="103">
        <v>0.30951400000000001</v>
      </c>
      <c r="I80" s="103">
        <v>0.307253</v>
      </c>
      <c r="J80" s="103">
        <v>0.30627199999999999</v>
      </c>
      <c r="K80" s="103">
        <v>0.305645</v>
      </c>
      <c r="L80" s="103">
        <v>0.30499799999999999</v>
      </c>
      <c r="M80" s="103">
        <v>0.30433100000000002</v>
      </c>
      <c r="N80" s="103">
        <v>0.30364999999999998</v>
      </c>
      <c r="O80" s="103">
        <v>0.305058</v>
      </c>
      <c r="P80" s="103">
        <v>0.30782399999999999</v>
      </c>
      <c r="Q80" s="103">
        <v>0.31074099999999999</v>
      </c>
      <c r="R80" s="103">
        <v>0.31379699999999999</v>
      </c>
      <c r="S80" s="103">
        <v>0.31697199999999998</v>
      </c>
      <c r="T80" s="103">
        <v>0.32027299999999997</v>
      </c>
      <c r="U80" s="103">
        <v>0.323687</v>
      </c>
      <c r="V80" s="103">
        <v>0.327212</v>
      </c>
      <c r="W80" s="103">
        <v>0.33083499999999999</v>
      </c>
      <c r="X80" s="103">
        <v>0.33457599999999998</v>
      </c>
      <c r="Y80" s="103">
        <v>0.33842</v>
      </c>
      <c r="Z80" s="103">
        <v>0.34237600000000001</v>
      </c>
      <c r="AA80" s="103">
        <v>0.346441</v>
      </c>
      <c r="AB80" s="103">
        <v>0.35060200000000002</v>
      </c>
      <c r="AC80" s="103">
        <v>0.35488700000000001</v>
      </c>
      <c r="AD80" s="103">
        <v>0.359265</v>
      </c>
      <c r="AE80" s="103">
        <v>0.36373499999999998</v>
      </c>
      <c r="AF80" s="103">
        <v>0.36829499999999998</v>
      </c>
      <c r="AG80" s="90">
        <v>1E-3</v>
      </c>
    </row>
    <row r="81" spans="1:33">
      <c r="A81" s="87" t="s">
        <v>264</v>
      </c>
      <c r="B81" s="103">
        <v>6.6687999999999997E-2</v>
      </c>
      <c r="C81" s="103">
        <v>6.3022999999999996E-2</v>
      </c>
      <c r="D81" s="103">
        <v>5.6032999999999999E-2</v>
      </c>
      <c r="E81" s="103">
        <v>5.4213999999999998E-2</v>
      </c>
      <c r="F81" s="103">
        <v>5.4919999999999997E-2</v>
      </c>
      <c r="G81" s="103">
        <v>5.5592000000000003E-2</v>
      </c>
      <c r="H81" s="103">
        <v>5.6099999999999997E-2</v>
      </c>
      <c r="I81" s="103">
        <v>5.6501999999999997E-2</v>
      </c>
      <c r="J81" s="103">
        <v>5.6800000000000003E-2</v>
      </c>
      <c r="K81" s="103">
        <v>5.7055000000000002E-2</v>
      </c>
      <c r="L81" s="103">
        <v>5.7251000000000003E-2</v>
      </c>
      <c r="M81" s="103">
        <v>5.7444000000000002E-2</v>
      </c>
      <c r="N81" s="103">
        <v>5.7622E-2</v>
      </c>
      <c r="O81" s="103">
        <v>5.7758999999999998E-2</v>
      </c>
      <c r="P81" s="103">
        <v>5.7895000000000002E-2</v>
      </c>
      <c r="Q81" s="103">
        <v>5.8053E-2</v>
      </c>
      <c r="R81" s="103">
        <v>5.8206000000000001E-2</v>
      </c>
      <c r="S81" s="103">
        <v>5.8348999999999998E-2</v>
      </c>
      <c r="T81" s="103">
        <v>5.8485000000000002E-2</v>
      </c>
      <c r="U81" s="103">
        <v>5.8629000000000001E-2</v>
      </c>
      <c r="V81" s="103">
        <v>5.8797000000000002E-2</v>
      </c>
      <c r="W81" s="103">
        <v>5.8971999999999997E-2</v>
      </c>
      <c r="X81" s="103">
        <v>5.9129000000000001E-2</v>
      </c>
      <c r="Y81" s="103">
        <v>5.9284999999999997E-2</v>
      </c>
      <c r="Z81" s="103">
        <v>5.9466999999999999E-2</v>
      </c>
      <c r="AA81" s="103">
        <v>5.9660999999999999E-2</v>
      </c>
      <c r="AB81" s="103">
        <v>5.9857E-2</v>
      </c>
      <c r="AC81" s="103">
        <v>6.0075999999999997E-2</v>
      </c>
      <c r="AD81" s="103">
        <v>6.0308E-2</v>
      </c>
      <c r="AE81" s="103">
        <v>6.0547999999999998E-2</v>
      </c>
      <c r="AF81" s="103">
        <v>6.0786E-2</v>
      </c>
      <c r="AG81" s="90">
        <v>-1E-3</v>
      </c>
    </row>
    <row r="82" spans="1:33">
      <c r="A82" s="87" t="s">
        <v>265</v>
      </c>
      <c r="B82" s="103">
        <v>0.32320700000000002</v>
      </c>
      <c r="C82" s="103">
        <v>0.33037100000000003</v>
      </c>
      <c r="D82" s="103">
        <v>0.33792299999999997</v>
      </c>
      <c r="E82" s="103">
        <v>0.34210200000000002</v>
      </c>
      <c r="F82" s="103">
        <v>0.33169999999999999</v>
      </c>
      <c r="G82" s="103">
        <v>0.32711400000000002</v>
      </c>
      <c r="H82" s="103">
        <v>0.33485700000000002</v>
      </c>
      <c r="I82" s="103">
        <v>0.334038</v>
      </c>
      <c r="J82" s="103">
        <v>0.33487499999999998</v>
      </c>
      <c r="K82" s="103">
        <v>0.33566600000000002</v>
      </c>
      <c r="L82" s="103">
        <v>0.33615</v>
      </c>
      <c r="M82" s="103">
        <v>0.33634399999999998</v>
      </c>
      <c r="N82" s="103">
        <v>0.33804600000000001</v>
      </c>
      <c r="O82" s="103">
        <v>0.33907500000000002</v>
      </c>
      <c r="P82" s="103">
        <v>0.34216099999999999</v>
      </c>
      <c r="Q82" s="103">
        <v>0.34481800000000001</v>
      </c>
      <c r="R82" s="103">
        <v>0.34731000000000001</v>
      </c>
      <c r="S82" s="103">
        <v>0.34917900000000002</v>
      </c>
      <c r="T82" s="103">
        <v>0.34895300000000001</v>
      </c>
      <c r="U82" s="103">
        <v>0.34913</v>
      </c>
      <c r="V82" s="103">
        <v>0.35015299999999999</v>
      </c>
      <c r="W82" s="103">
        <v>0.35203600000000002</v>
      </c>
      <c r="X82" s="103">
        <v>0.35417500000000002</v>
      </c>
      <c r="Y82" s="103">
        <v>0.35581800000000002</v>
      </c>
      <c r="Z82" s="103">
        <v>0.35739900000000002</v>
      </c>
      <c r="AA82" s="103">
        <v>0.35914800000000002</v>
      </c>
      <c r="AB82" s="103">
        <v>0.36063299999999998</v>
      </c>
      <c r="AC82" s="103">
        <v>0.36172100000000001</v>
      </c>
      <c r="AD82" s="103">
        <v>0.36364600000000002</v>
      </c>
      <c r="AE82" s="103">
        <v>0.36523499999999998</v>
      </c>
      <c r="AF82" s="103">
        <v>0.36672300000000002</v>
      </c>
      <c r="AG82" s="90">
        <v>4.0000000000000001E-3</v>
      </c>
    </row>
    <row r="83" spans="1:33">
      <c r="A83" s="89" t="s">
        <v>266</v>
      </c>
      <c r="B83" s="91">
        <v>13.928124</v>
      </c>
      <c r="C83" s="91">
        <v>14.000196000000001</v>
      </c>
      <c r="D83" s="91">
        <v>13.824469000000001</v>
      </c>
      <c r="E83" s="91">
        <v>13.827067</v>
      </c>
      <c r="F83" s="91">
        <v>13.920844000000001</v>
      </c>
      <c r="G83" s="91">
        <v>13.997006000000001</v>
      </c>
      <c r="H83" s="91">
        <v>14.045489999999999</v>
      </c>
      <c r="I83" s="91">
        <v>14.070342999999999</v>
      </c>
      <c r="J83" s="91">
        <v>14.081944</v>
      </c>
      <c r="K83" s="91">
        <v>14.082031000000001</v>
      </c>
      <c r="L83" s="91">
        <v>14.046039</v>
      </c>
      <c r="M83" s="91">
        <v>13.993219</v>
      </c>
      <c r="N83" s="91">
        <v>13.946279000000001</v>
      </c>
      <c r="O83" s="91">
        <v>13.877585</v>
      </c>
      <c r="P83" s="91">
        <v>13.806656</v>
      </c>
      <c r="Q83" s="91">
        <v>13.727784</v>
      </c>
      <c r="R83" s="91">
        <v>13.653986</v>
      </c>
      <c r="S83" s="91">
        <v>13.593112</v>
      </c>
      <c r="T83" s="91">
        <v>13.53698</v>
      </c>
      <c r="U83" s="91">
        <v>13.492087</v>
      </c>
      <c r="V83" s="91">
        <v>13.471603</v>
      </c>
      <c r="W83" s="91">
        <v>13.464546</v>
      </c>
      <c r="X83" s="91">
        <v>13.462691</v>
      </c>
      <c r="Y83" s="91">
        <v>13.468954999999999</v>
      </c>
      <c r="Z83" s="91">
        <v>13.495267999999999</v>
      </c>
      <c r="AA83" s="91">
        <v>13.53172</v>
      </c>
      <c r="AB83" s="91">
        <v>13.573323</v>
      </c>
      <c r="AC83" s="91">
        <v>13.633259000000001</v>
      </c>
      <c r="AD83" s="91">
        <v>13.704502</v>
      </c>
      <c r="AE83" s="91">
        <v>13.782487</v>
      </c>
      <c r="AF83" s="91">
        <v>13.873096</v>
      </c>
      <c r="AG83" s="92">
        <v>0</v>
      </c>
    </row>
    <row r="84" spans="1:33" s="97" customFormat="1" ht="15" customHeight="1">
      <c r="A84" s="157" t="s">
        <v>268</v>
      </c>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row>
    <row r="85" spans="1:33" ht="15" customHeight="1">
      <c r="A85" s="154" t="s">
        <v>269</v>
      </c>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row>
    <row r="86" spans="1:33" ht="15" customHeight="1">
      <c r="A86" s="154" t="s">
        <v>270</v>
      </c>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row>
    <row r="87" spans="1:33" ht="15" customHeight="1">
      <c r="A87" s="154" t="s">
        <v>271</v>
      </c>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row>
    <row r="88" spans="1:33" ht="15" customHeight="1">
      <c r="A88" s="154" t="s">
        <v>272</v>
      </c>
      <c r="B88" s="154"/>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row>
    <row r="89" spans="1:33" ht="15" customHeight="1">
      <c r="A89" s="154" t="s">
        <v>273</v>
      </c>
      <c r="B89" s="154"/>
      <c r="C89" s="154"/>
      <c r="D89" s="154"/>
      <c r="E89" s="154"/>
      <c r="F89" s="154"/>
      <c r="G89" s="154"/>
      <c r="H89" s="154"/>
      <c r="I89" s="154"/>
      <c r="J89" s="154"/>
      <c r="K89" s="154"/>
      <c r="L89" s="154"/>
      <c r="M89" s="154"/>
      <c r="N89" s="154"/>
      <c r="O89" s="154"/>
      <c r="P89" s="154"/>
      <c r="Q89" s="154"/>
      <c r="R89" s="154"/>
      <c r="S89" s="154"/>
      <c r="T89" s="154"/>
      <c r="U89" s="154"/>
      <c r="V89" s="154"/>
      <c r="W89" s="154"/>
      <c r="X89" s="154"/>
      <c r="Y89" s="154"/>
      <c r="Z89" s="154"/>
      <c r="AA89" s="154"/>
      <c r="AB89" s="154"/>
      <c r="AC89" s="154"/>
      <c r="AD89" s="154"/>
      <c r="AE89" s="154"/>
      <c r="AF89" s="154"/>
      <c r="AG89" s="154"/>
    </row>
    <row r="90" spans="1:33" ht="15" customHeight="1">
      <c r="A90" s="154" t="s">
        <v>274</v>
      </c>
      <c r="B90" s="154"/>
      <c r="C90" s="15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row>
    <row r="91" spans="1:33" ht="15" customHeight="1">
      <c r="A91" s="154" t="s">
        <v>275</v>
      </c>
      <c r="B91" s="154"/>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row>
    <row r="92" spans="1:33" ht="15" customHeight="1">
      <c r="A92" s="154" t="s">
        <v>276</v>
      </c>
      <c r="B92" s="154"/>
      <c r="C92" s="154"/>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row>
    <row r="93" spans="1:33" ht="15" customHeight="1">
      <c r="A93" s="154" t="s">
        <v>277</v>
      </c>
      <c r="B93" s="154"/>
      <c r="C93" s="15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row>
    <row r="94" spans="1:33" ht="15" customHeight="1">
      <c r="A94" s="154" t="s">
        <v>278</v>
      </c>
      <c r="B94" s="154"/>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row>
    <row r="95" spans="1:33" ht="15" customHeight="1">
      <c r="A95" s="154" t="s">
        <v>279</v>
      </c>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row>
    <row r="96" spans="1:33" ht="15" customHeight="1">
      <c r="A96" s="154" t="s">
        <v>280</v>
      </c>
      <c r="B96" s="154"/>
      <c r="C96" s="154"/>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row>
    <row r="97" spans="1:33" ht="15" customHeight="1">
      <c r="A97" s="154" t="s">
        <v>281</v>
      </c>
      <c r="B97" s="154"/>
      <c r="C97" s="154"/>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c r="AF97" s="154"/>
      <c r="AG97" s="154"/>
    </row>
    <row r="98" spans="1:33" ht="15" customHeight="1">
      <c r="A98" s="154" t="s">
        <v>216</v>
      </c>
      <c r="B98" s="154"/>
      <c r="C98" s="154"/>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c r="AF98" s="154"/>
      <c r="AG98" s="154"/>
    </row>
    <row r="99" spans="1:33" ht="15" customHeight="1">
      <c r="A99" s="154" t="s">
        <v>282</v>
      </c>
      <c r="B99" s="154"/>
      <c r="C99" s="154"/>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row>
    <row r="100" spans="1:33" ht="15" customHeight="1">
      <c r="A100" s="154" t="s">
        <v>283</v>
      </c>
      <c r="B100" s="154"/>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row>
    <row r="101" spans="1:33" ht="15" customHeight="1">
      <c r="A101" s="154" t="s">
        <v>284</v>
      </c>
      <c r="B101" s="154"/>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row>
    <row r="102" spans="1:33" ht="15" customHeight="1">
      <c r="A102" s="154" t="s">
        <v>285</v>
      </c>
      <c r="B102" s="154"/>
      <c r="C102" s="154"/>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row>
    <row r="103" spans="1:33" ht="15" customHeight="1">
      <c r="A103" s="154" t="s">
        <v>286</v>
      </c>
      <c r="B103" s="154"/>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row>
    <row r="104" spans="1:33" ht="15" customHeight="1">
      <c r="A104" s="154" t="s">
        <v>287</v>
      </c>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row>
  </sheetData>
  <mergeCells count="22">
    <mergeCell ref="A94:AG94"/>
    <mergeCell ref="A1:AG2"/>
    <mergeCell ref="A84:AG84"/>
    <mergeCell ref="A85:AG85"/>
    <mergeCell ref="A86:AG86"/>
    <mergeCell ref="A87:AG87"/>
    <mergeCell ref="A88:AG88"/>
    <mergeCell ref="A89:AG89"/>
    <mergeCell ref="A90:AG90"/>
    <mergeCell ref="A91:AG91"/>
    <mergeCell ref="A92:AG92"/>
    <mergeCell ref="A93:AG93"/>
    <mergeCell ref="A101:AG101"/>
    <mergeCell ref="A102:AG102"/>
    <mergeCell ref="A103:AG103"/>
    <mergeCell ref="A104:AG104"/>
    <mergeCell ref="A95:AG95"/>
    <mergeCell ref="A96:AG96"/>
    <mergeCell ref="A97:AG97"/>
    <mergeCell ref="A98:AG98"/>
    <mergeCell ref="A99:AG99"/>
    <mergeCell ref="A100:AG10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7"/>
  <sheetViews>
    <sheetView showGridLines="0" topLeftCell="A34" workbookViewId="0">
      <selection activeCell="A60" sqref="A60:AG60"/>
    </sheetView>
  </sheetViews>
  <sheetFormatPr defaultRowHeight="15"/>
  <cols>
    <col min="1" max="1" width="36.5703125" bestFit="1" customWidth="1"/>
    <col min="2" max="32" width="11" bestFit="1" customWidth="1"/>
    <col min="33" max="33" width="23.140625" bestFit="1" customWidth="1"/>
  </cols>
  <sheetData>
    <row r="1" spans="1:33" ht="18" customHeight="1">
      <c r="A1" s="155" t="s">
        <v>177</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row>
    <row r="2" spans="1:33" ht="18" customHeight="1">
      <c r="A2" s="155" t="s">
        <v>178</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row>
    <row r="3" spans="1:33">
      <c r="A3" s="158"/>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row>
    <row r="4" spans="1:33" s="86" customFormat="1">
      <c r="A4" s="84" t="s">
        <v>179</v>
      </c>
      <c r="B4" s="85">
        <v>2010</v>
      </c>
      <c r="C4" s="85">
        <v>2011</v>
      </c>
      <c r="D4" s="85">
        <v>2012</v>
      </c>
      <c r="E4" s="85">
        <v>2013</v>
      </c>
      <c r="F4" s="85">
        <v>2014</v>
      </c>
      <c r="G4" s="85">
        <v>2015</v>
      </c>
      <c r="H4" s="85">
        <v>2016</v>
      </c>
      <c r="I4" s="85">
        <v>2017</v>
      </c>
      <c r="J4" s="85">
        <v>2018</v>
      </c>
      <c r="K4" s="85">
        <v>2019</v>
      </c>
      <c r="L4" s="85">
        <v>2020</v>
      </c>
      <c r="M4" s="85">
        <v>2021</v>
      </c>
      <c r="N4" s="85">
        <v>2022</v>
      </c>
      <c r="O4" s="85">
        <v>2023</v>
      </c>
      <c r="P4" s="85">
        <v>2024</v>
      </c>
      <c r="Q4" s="85">
        <v>2025</v>
      </c>
      <c r="R4" s="85">
        <v>2026</v>
      </c>
      <c r="S4" s="85">
        <v>2027</v>
      </c>
      <c r="T4" s="85">
        <v>2028</v>
      </c>
      <c r="U4" s="85">
        <v>2029</v>
      </c>
      <c r="V4" s="85">
        <v>2030</v>
      </c>
      <c r="W4" s="85">
        <v>2031</v>
      </c>
      <c r="X4" s="85">
        <v>2032</v>
      </c>
      <c r="Y4" s="85">
        <v>2033</v>
      </c>
      <c r="Z4" s="85">
        <v>2034</v>
      </c>
      <c r="AA4" s="85">
        <v>2035</v>
      </c>
      <c r="AB4" s="85">
        <v>2036</v>
      </c>
      <c r="AC4" s="85">
        <v>2037</v>
      </c>
      <c r="AD4" s="85">
        <v>2038</v>
      </c>
      <c r="AE4" s="85">
        <v>2039</v>
      </c>
      <c r="AF4" s="85">
        <v>2040</v>
      </c>
      <c r="AG4" s="85" t="s">
        <v>180</v>
      </c>
    </row>
    <row r="5" spans="1:33">
      <c r="A5" s="87"/>
    </row>
    <row r="6" spans="1:33">
      <c r="A6" s="88" t="s">
        <v>181</v>
      </c>
    </row>
    <row r="7" spans="1:33">
      <c r="A7" s="89" t="s">
        <v>182</v>
      </c>
    </row>
    <row r="8" spans="1:33">
      <c r="A8" s="87" t="s">
        <v>183</v>
      </c>
      <c r="B8" s="11">
        <v>34.597904</v>
      </c>
      <c r="C8" s="11">
        <v>34.919041</v>
      </c>
      <c r="D8" s="11">
        <v>35.108184999999999</v>
      </c>
      <c r="E8" s="11">
        <v>35.204574999999998</v>
      </c>
      <c r="F8" s="11">
        <v>35.576385000000002</v>
      </c>
      <c r="G8" s="11">
        <v>35.951981000000004</v>
      </c>
      <c r="H8" s="11">
        <v>36.652377999999999</v>
      </c>
      <c r="I8" s="11">
        <v>38.046985999999997</v>
      </c>
      <c r="J8" s="11">
        <v>38.759372999999997</v>
      </c>
      <c r="K8" s="11">
        <v>40.517310999999999</v>
      </c>
      <c r="L8" s="11">
        <v>42.445247999999999</v>
      </c>
      <c r="M8" s="11">
        <v>44.190314999999998</v>
      </c>
      <c r="N8" s="11">
        <v>46.293647999999997</v>
      </c>
      <c r="O8" s="11">
        <v>48.814219999999999</v>
      </c>
      <c r="P8" s="11">
        <v>49.914551000000003</v>
      </c>
      <c r="Q8" s="11">
        <v>51.860377999999997</v>
      </c>
      <c r="R8" s="11">
        <v>52.447871999999997</v>
      </c>
      <c r="S8" s="11">
        <v>52.446648000000003</v>
      </c>
      <c r="T8" s="11">
        <v>52.432578999999997</v>
      </c>
      <c r="U8" s="11">
        <v>52.420437</v>
      </c>
      <c r="V8" s="11">
        <v>52.403454000000004</v>
      </c>
      <c r="W8" s="11">
        <v>52.386668999999998</v>
      </c>
      <c r="X8" s="11">
        <v>52.371226999999998</v>
      </c>
      <c r="Y8" s="11">
        <v>52.353977</v>
      </c>
      <c r="Z8" s="11">
        <v>52.336426000000003</v>
      </c>
      <c r="AA8" s="11">
        <v>52.320476999999997</v>
      </c>
      <c r="AB8" s="11">
        <v>52.305140999999999</v>
      </c>
      <c r="AC8" s="11">
        <v>52.289406</v>
      </c>
      <c r="AD8" s="11">
        <v>52.272820000000003</v>
      </c>
      <c r="AE8" s="11">
        <v>52.253608999999997</v>
      </c>
      <c r="AF8" s="11">
        <v>52.234710999999997</v>
      </c>
      <c r="AG8" s="90">
        <v>1.4E-2</v>
      </c>
    </row>
    <row r="9" spans="1:33">
      <c r="A9" s="87" t="s">
        <v>184</v>
      </c>
      <c r="B9" s="11">
        <v>43.632598999999999</v>
      </c>
      <c r="C9" s="11">
        <v>44.021965000000002</v>
      </c>
      <c r="D9" s="11">
        <v>44.075951000000003</v>
      </c>
      <c r="E9" s="11">
        <v>44.129283999999998</v>
      </c>
      <c r="F9" s="11">
        <v>44.433525000000003</v>
      </c>
      <c r="G9" s="11">
        <v>44.700771000000003</v>
      </c>
      <c r="H9" s="11">
        <v>45.172981</v>
      </c>
      <c r="I9" s="11">
        <v>46.075951000000003</v>
      </c>
      <c r="J9" s="11">
        <v>46.521560999999998</v>
      </c>
      <c r="K9" s="11">
        <v>47.53651</v>
      </c>
      <c r="L9" s="11">
        <v>48.835808</v>
      </c>
      <c r="M9" s="11">
        <v>50.059372000000003</v>
      </c>
      <c r="N9" s="11">
        <v>51.500380999999997</v>
      </c>
      <c r="O9" s="11">
        <v>53.165740999999997</v>
      </c>
      <c r="P9" s="11">
        <v>53.828662999999999</v>
      </c>
      <c r="Q9" s="11">
        <v>55.239612999999999</v>
      </c>
      <c r="R9" s="11">
        <v>55.621989999999997</v>
      </c>
      <c r="S9" s="11">
        <v>55.594375999999997</v>
      </c>
      <c r="T9" s="11">
        <v>55.581623</v>
      </c>
      <c r="U9" s="11">
        <v>55.579590000000003</v>
      </c>
      <c r="V9" s="11">
        <v>55.568080999999999</v>
      </c>
      <c r="W9" s="11">
        <v>55.551254</v>
      </c>
      <c r="X9" s="11">
        <v>55.534579999999998</v>
      </c>
      <c r="Y9" s="11">
        <v>55.526463</v>
      </c>
      <c r="Z9" s="11">
        <v>55.505482000000001</v>
      </c>
      <c r="AA9" s="11">
        <v>55.491928000000001</v>
      </c>
      <c r="AB9" s="11">
        <v>55.476253999999997</v>
      </c>
      <c r="AC9" s="11">
        <v>55.458678999999997</v>
      </c>
      <c r="AD9" s="11">
        <v>55.446601999999999</v>
      </c>
      <c r="AE9" s="11">
        <v>55.423672000000003</v>
      </c>
      <c r="AF9" s="11">
        <v>55.400435999999999</v>
      </c>
      <c r="AG9" s="90">
        <v>8.0000000000000002E-3</v>
      </c>
    </row>
    <row r="10" spans="1:33">
      <c r="A10" s="87"/>
    </row>
    <row r="11" spans="1:33">
      <c r="A11" s="89" t="s">
        <v>185</v>
      </c>
    </row>
    <row r="12" spans="1:33">
      <c r="A12" s="87" t="s">
        <v>186</v>
      </c>
      <c r="B12" s="11">
        <v>34.718277</v>
      </c>
      <c r="C12" s="11">
        <v>35.229412000000004</v>
      </c>
      <c r="D12" s="11">
        <v>33.821776999999997</v>
      </c>
      <c r="E12" s="11">
        <v>34.923088</v>
      </c>
      <c r="F12" s="11">
        <v>35.327671000000002</v>
      </c>
      <c r="G12" s="11">
        <v>35.693787</v>
      </c>
      <c r="H12" s="11">
        <v>36.354503999999999</v>
      </c>
      <c r="I12" s="11">
        <v>37.882644999999997</v>
      </c>
      <c r="J12" s="11">
        <v>38.567348000000003</v>
      </c>
      <c r="K12" s="11">
        <v>40.462795</v>
      </c>
      <c r="L12" s="11">
        <v>42.531920999999997</v>
      </c>
      <c r="M12" s="11">
        <v>44.370075</v>
      </c>
      <c r="N12" s="11">
        <v>46.671256999999997</v>
      </c>
      <c r="O12" s="11">
        <v>49.354424000000002</v>
      </c>
      <c r="P12" s="11">
        <v>50.430110999999997</v>
      </c>
      <c r="Q12" s="11">
        <v>52.477684000000004</v>
      </c>
      <c r="R12" s="11">
        <v>53.032108000000001</v>
      </c>
      <c r="S12" s="11">
        <v>53.033965999999999</v>
      </c>
      <c r="T12" s="11">
        <v>53.031685000000003</v>
      </c>
      <c r="U12" s="11">
        <v>53.035094999999998</v>
      </c>
      <c r="V12" s="11">
        <v>53.030780999999998</v>
      </c>
      <c r="W12" s="11">
        <v>53.025452000000001</v>
      </c>
      <c r="X12" s="11">
        <v>53.020339999999997</v>
      </c>
      <c r="Y12" s="11">
        <v>53.013843999999999</v>
      </c>
      <c r="Z12" s="11">
        <v>53.004333000000003</v>
      </c>
      <c r="AA12" s="11">
        <v>52.995410999999997</v>
      </c>
      <c r="AB12" s="11">
        <v>52.987006999999998</v>
      </c>
      <c r="AC12" s="11">
        <v>52.977192000000002</v>
      </c>
      <c r="AD12" s="11">
        <v>52.966873</v>
      </c>
      <c r="AE12" s="11">
        <v>52.949306</v>
      </c>
      <c r="AF12" s="11">
        <v>52.929146000000003</v>
      </c>
      <c r="AG12" s="90">
        <v>1.4E-2</v>
      </c>
    </row>
    <row r="13" spans="1:33">
      <c r="A13" s="87" t="s">
        <v>187</v>
      </c>
      <c r="B13" s="11">
        <v>161.42865</v>
      </c>
      <c r="C13" s="11">
        <v>162.38754299999999</v>
      </c>
      <c r="D13" s="11">
        <v>165.21546900000001</v>
      </c>
      <c r="E13" s="11">
        <v>166.45353700000001</v>
      </c>
      <c r="F13" s="11">
        <v>167.43963600000001</v>
      </c>
      <c r="G13" s="11">
        <v>168.09571800000001</v>
      </c>
      <c r="H13" s="11">
        <v>166.68821700000001</v>
      </c>
      <c r="I13" s="11">
        <v>170.63516200000001</v>
      </c>
      <c r="J13" s="11">
        <v>171.53028900000001</v>
      </c>
      <c r="K13" s="11">
        <v>177.20198099999999</v>
      </c>
      <c r="L13" s="11">
        <v>166.24501000000001</v>
      </c>
      <c r="M13" s="11">
        <v>170.659943</v>
      </c>
      <c r="N13" s="11">
        <v>175.74958799999999</v>
      </c>
      <c r="O13" s="11">
        <v>181.62283300000001</v>
      </c>
      <c r="P13" s="11">
        <v>181.86802700000001</v>
      </c>
      <c r="Q13" s="11">
        <v>180.70311000000001</v>
      </c>
      <c r="R13" s="11">
        <v>182.703125</v>
      </c>
      <c r="S13" s="11">
        <v>183.06835899999999</v>
      </c>
      <c r="T13" s="11">
        <v>183.48915099999999</v>
      </c>
      <c r="U13" s="11">
        <v>183.928482</v>
      </c>
      <c r="V13" s="11">
        <v>184.35755900000001</v>
      </c>
      <c r="W13" s="11">
        <v>184.68620300000001</v>
      </c>
      <c r="X13" s="11">
        <v>185.00018299999999</v>
      </c>
      <c r="Y13" s="11">
        <v>185.35910000000001</v>
      </c>
      <c r="Z13" s="11">
        <v>185.66606100000001</v>
      </c>
      <c r="AA13" s="11">
        <v>185.97171</v>
      </c>
      <c r="AB13" s="11">
        <v>186.25679</v>
      </c>
      <c r="AC13" s="11">
        <v>186.54070999999999</v>
      </c>
      <c r="AD13" s="11">
        <v>186.82476800000001</v>
      </c>
      <c r="AE13" s="11">
        <v>187.12264999999999</v>
      </c>
      <c r="AF13" s="11">
        <v>187.41540499999999</v>
      </c>
      <c r="AG13" s="90">
        <v>5.0000000000000001E-3</v>
      </c>
    </row>
    <row r="14" spans="1:33">
      <c r="A14" s="87" t="s">
        <v>188</v>
      </c>
      <c r="B14" s="11">
        <v>68.990645999999998</v>
      </c>
      <c r="C14" s="11">
        <v>72.248917000000006</v>
      </c>
      <c r="D14" s="11">
        <v>74.806151999999997</v>
      </c>
      <c r="E14" s="11">
        <v>78.289360000000002</v>
      </c>
      <c r="F14" s="11">
        <v>82.058563000000007</v>
      </c>
      <c r="G14" s="11">
        <v>86.102158000000003</v>
      </c>
      <c r="H14" s="11">
        <v>90.483565999999996</v>
      </c>
      <c r="I14" s="11">
        <v>95.383148000000006</v>
      </c>
      <c r="J14" s="11">
        <v>100.79940000000001</v>
      </c>
      <c r="K14" s="11">
        <v>106.71622499999999</v>
      </c>
      <c r="L14" s="11">
        <v>113.39954400000001</v>
      </c>
      <c r="M14" s="11">
        <v>120.203445</v>
      </c>
      <c r="N14" s="11">
        <v>127.59897599999999</v>
      </c>
      <c r="O14" s="11">
        <v>137.01844800000001</v>
      </c>
      <c r="P14" s="11">
        <v>138.03175400000001</v>
      </c>
      <c r="Q14" s="11">
        <v>138.78337099999999</v>
      </c>
      <c r="R14" s="11">
        <v>139.41922</v>
      </c>
      <c r="S14" s="11">
        <v>140.10575900000001</v>
      </c>
      <c r="T14" s="11">
        <v>140.790222</v>
      </c>
      <c r="U14" s="11">
        <v>141.472275</v>
      </c>
      <c r="V14" s="11">
        <v>142.151611</v>
      </c>
      <c r="W14" s="11">
        <v>142.60441599999999</v>
      </c>
      <c r="X14" s="11">
        <v>143.05642700000001</v>
      </c>
      <c r="Y14" s="11">
        <v>143.507645</v>
      </c>
      <c r="Z14" s="11">
        <v>143.95811499999999</v>
      </c>
      <c r="AA14" s="11">
        <v>144.403381</v>
      </c>
      <c r="AB14" s="11">
        <v>144.847092</v>
      </c>
      <c r="AC14" s="11">
        <v>145.289368</v>
      </c>
      <c r="AD14" s="11">
        <v>145.73005699999999</v>
      </c>
      <c r="AE14" s="11">
        <v>146.169174</v>
      </c>
      <c r="AF14" s="11">
        <v>146.60659799999999</v>
      </c>
      <c r="AG14" s="90">
        <v>2.5000000000000001E-2</v>
      </c>
    </row>
    <row r="15" spans="1:33">
      <c r="A15" s="87" t="s">
        <v>189</v>
      </c>
      <c r="B15" s="11">
        <v>0</v>
      </c>
      <c r="C15" s="11">
        <v>0</v>
      </c>
      <c r="D15" s="11">
        <v>0</v>
      </c>
      <c r="E15" s="11">
        <v>0</v>
      </c>
      <c r="F15" s="11">
        <v>57.301662</v>
      </c>
      <c r="G15" s="11">
        <v>57.400826000000002</v>
      </c>
      <c r="H15" s="11">
        <v>58.026389999999999</v>
      </c>
      <c r="I15" s="11">
        <v>60.247017</v>
      </c>
      <c r="J15" s="11">
        <v>60.899700000000003</v>
      </c>
      <c r="K15" s="11">
        <v>63.010756999999998</v>
      </c>
      <c r="L15" s="11">
        <v>65.232833999999997</v>
      </c>
      <c r="M15" s="11">
        <v>67.507423000000003</v>
      </c>
      <c r="N15" s="11">
        <v>72.048232999999996</v>
      </c>
      <c r="O15" s="11">
        <v>76.476166000000006</v>
      </c>
      <c r="P15" s="11">
        <v>78.279694000000006</v>
      </c>
      <c r="Q15" s="11">
        <v>80.977210999999997</v>
      </c>
      <c r="R15" s="11">
        <v>81.913489999999996</v>
      </c>
      <c r="S15" s="11">
        <v>81.874595999999997</v>
      </c>
      <c r="T15" s="11">
        <v>81.836051999999995</v>
      </c>
      <c r="U15" s="11">
        <v>81.810012999999998</v>
      </c>
      <c r="V15" s="11">
        <v>81.783378999999996</v>
      </c>
      <c r="W15" s="11">
        <v>81.756209999999996</v>
      </c>
      <c r="X15" s="11">
        <v>81.730025999999995</v>
      </c>
      <c r="Y15" s="11">
        <v>81.707504</v>
      </c>
      <c r="Z15" s="11">
        <v>81.680321000000006</v>
      </c>
      <c r="AA15" s="11">
        <v>81.65625</v>
      </c>
      <c r="AB15" s="11">
        <v>81.638428000000005</v>
      </c>
      <c r="AC15" s="11">
        <v>81.620193</v>
      </c>
      <c r="AD15" s="11">
        <v>81.601898000000006</v>
      </c>
      <c r="AE15" s="11">
        <v>81.583275</v>
      </c>
      <c r="AF15" s="11">
        <v>81.565658999999997</v>
      </c>
      <c r="AG15" s="11" t="s">
        <v>190</v>
      </c>
    </row>
    <row r="16" spans="1:33">
      <c r="A16" s="87" t="s">
        <v>191</v>
      </c>
      <c r="B16" s="11">
        <v>0</v>
      </c>
      <c r="C16" s="11">
        <v>66.905951999999999</v>
      </c>
      <c r="D16" s="11">
        <v>67.021979999999999</v>
      </c>
      <c r="E16" s="11">
        <v>67.008446000000006</v>
      </c>
      <c r="F16" s="11">
        <v>67.037102000000004</v>
      </c>
      <c r="G16" s="11">
        <v>69.034317000000001</v>
      </c>
      <c r="H16" s="11">
        <v>69.675376999999997</v>
      </c>
      <c r="I16" s="11">
        <v>71.488014000000007</v>
      </c>
      <c r="J16" s="11">
        <v>72.357230999999999</v>
      </c>
      <c r="K16" s="11">
        <v>75.292479999999998</v>
      </c>
      <c r="L16" s="11">
        <v>77.436561999999995</v>
      </c>
      <c r="M16" s="11">
        <v>80.076949999999997</v>
      </c>
      <c r="N16" s="11">
        <v>86.602324999999993</v>
      </c>
      <c r="O16" s="11">
        <v>91.205070000000006</v>
      </c>
      <c r="P16" s="11">
        <v>92.907950999999997</v>
      </c>
      <c r="Q16" s="11">
        <v>96.247246000000004</v>
      </c>
      <c r="R16" s="11">
        <v>97.334923000000003</v>
      </c>
      <c r="S16" s="11">
        <v>97.306999000000005</v>
      </c>
      <c r="T16" s="11">
        <v>97.270386000000002</v>
      </c>
      <c r="U16" s="11">
        <v>97.236298000000005</v>
      </c>
      <c r="V16" s="11">
        <v>97.198882999999995</v>
      </c>
      <c r="W16" s="11">
        <v>97.165206999999995</v>
      </c>
      <c r="X16" s="11">
        <v>97.119827000000001</v>
      </c>
      <c r="Y16" s="11">
        <v>97.089080999999993</v>
      </c>
      <c r="Z16" s="11">
        <v>97.053932000000003</v>
      </c>
      <c r="AA16" s="11">
        <v>97.028587000000002</v>
      </c>
      <c r="AB16" s="11">
        <v>97.006325000000004</v>
      </c>
      <c r="AC16" s="11">
        <v>96.980239999999995</v>
      </c>
      <c r="AD16" s="11">
        <v>96.947959999999995</v>
      </c>
      <c r="AE16" s="11">
        <v>96.915413000000001</v>
      </c>
      <c r="AF16" s="11">
        <v>96.883583000000002</v>
      </c>
      <c r="AG16" s="90">
        <v>1.2999999999999999E-2</v>
      </c>
    </row>
    <row r="17" spans="1:33">
      <c r="A17" s="87" t="s">
        <v>192</v>
      </c>
      <c r="B17" s="11">
        <v>0</v>
      </c>
      <c r="C17" s="11">
        <v>0</v>
      </c>
      <c r="D17" s="11">
        <v>0</v>
      </c>
      <c r="E17" s="11">
        <v>0</v>
      </c>
      <c r="F17" s="11">
        <v>0</v>
      </c>
      <c r="G17" s="11">
        <v>0</v>
      </c>
      <c r="H17" s="11">
        <v>0</v>
      </c>
      <c r="I17" s="11">
        <v>60.320950000000003</v>
      </c>
      <c r="J17" s="11">
        <v>60.615940000000002</v>
      </c>
      <c r="K17" s="11">
        <v>61.674210000000002</v>
      </c>
      <c r="L17" s="11">
        <v>62.956203000000002</v>
      </c>
      <c r="M17" s="11">
        <v>64.732246000000004</v>
      </c>
      <c r="N17" s="11">
        <v>68.209602000000004</v>
      </c>
      <c r="O17" s="11">
        <v>70.346587999999997</v>
      </c>
      <c r="P17" s="11">
        <v>71.217415000000003</v>
      </c>
      <c r="Q17" s="11">
        <v>72.732902999999993</v>
      </c>
      <c r="R17" s="11">
        <v>73.259940999999998</v>
      </c>
      <c r="S17" s="11">
        <v>73.307922000000005</v>
      </c>
      <c r="T17" s="11">
        <v>73.322243</v>
      </c>
      <c r="U17" s="11">
        <v>73.299385000000001</v>
      </c>
      <c r="V17" s="11">
        <v>73.259215999999995</v>
      </c>
      <c r="W17" s="11">
        <v>73.223701000000005</v>
      </c>
      <c r="X17" s="11">
        <v>73.196067999999997</v>
      </c>
      <c r="Y17" s="11">
        <v>73.163489999999996</v>
      </c>
      <c r="Z17" s="11">
        <v>73.144019999999998</v>
      </c>
      <c r="AA17" s="11">
        <v>73.114998</v>
      </c>
      <c r="AB17" s="11">
        <v>73.096901000000003</v>
      </c>
      <c r="AC17" s="11">
        <v>73.071472</v>
      </c>
      <c r="AD17" s="11">
        <v>73.031791999999996</v>
      </c>
      <c r="AE17" s="11">
        <v>72.990356000000006</v>
      </c>
      <c r="AF17" s="11">
        <v>72.963729999999998</v>
      </c>
      <c r="AG17" s="11" t="s">
        <v>190</v>
      </c>
    </row>
    <row r="18" spans="1:33">
      <c r="A18" s="87" t="s">
        <v>193</v>
      </c>
      <c r="B18" s="11">
        <v>50.359085</v>
      </c>
      <c r="C18" s="11">
        <v>50.556792999999999</v>
      </c>
      <c r="D18" s="11">
        <v>50.605590999999997</v>
      </c>
      <c r="E18" s="11">
        <v>50.589095999999998</v>
      </c>
      <c r="F18" s="11">
        <v>50.982394999999997</v>
      </c>
      <c r="G18" s="11">
        <v>51.196151999999998</v>
      </c>
      <c r="H18" s="11">
        <v>52.094067000000003</v>
      </c>
      <c r="I18" s="11">
        <v>54.124802000000003</v>
      </c>
      <c r="J18" s="11">
        <v>54.900002000000001</v>
      </c>
      <c r="K18" s="11">
        <v>57.423279000000001</v>
      </c>
      <c r="L18" s="11">
        <v>59.914611999999998</v>
      </c>
      <c r="M18" s="11">
        <v>62.140804000000003</v>
      </c>
      <c r="N18" s="11">
        <v>66.121467999999993</v>
      </c>
      <c r="O18" s="11">
        <v>69.042702000000006</v>
      </c>
      <c r="P18" s="11">
        <v>70.307509999999994</v>
      </c>
      <c r="Q18" s="11">
        <v>72.384917999999999</v>
      </c>
      <c r="R18" s="11">
        <v>73.025504999999995</v>
      </c>
      <c r="S18" s="11">
        <v>73.019385999999997</v>
      </c>
      <c r="T18" s="11">
        <v>72.987679</v>
      </c>
      <c r="U18" s="11">
        <v>72.957618999999994</v>
      </c>
      <c r="V18" s="11">
        <v>72.926024999999996</v>
      </c>
      <c r="W18" s="11">
        <v>72.896041999999994</v>
      </c>
      <c r="X18" s="11">
        <v>72.869324000000006</v>
      </c>
      <c r="Y18" s="11">
        <v>72.849746999999994</v>
      </c>
      <c r="Z18" s="11">
        <v>72.832283000000004</v>
      </c>
      <c r="AA18" s="11">
        <v>72.811317000000003</v>
      </c>
      <c r="AB18" s="11">
        <v>72.792664000000002</v>
      </c>
      <c r="AC18" s="11">
        <v>72.771445999999997</v>
      </c>
      <c r="AD18" s="11">
        <v>72.745598000000001</v>
      </c>
      <c r="AE18" s="11">
        <v>72.719809999999995</v>
      </c>
      <c r="AF18" s="11">
        <v>72.696387999999999</v>
      </c>
      <c r="AG18" s="90">
        <v>1.2999999999999999E-2</v>
      </c>
    </row>
    <row r="19" spans="1:33">
      <c r="A19" s="87" t="s">
        <v>194</v>
      </c>
      <c r="B19" s="11">
        <v>35.564259</v>
      </c>
      <c r="C19" s="11">
        <v>36.065581999999999</v>
      </c>
      <c r="D19" s="11">
        <v>36.293343</v>
      </c>
      <c r="E19" s="11">
        <v>36.408065999999998</v>
      </c>
      <c r="F19" s="11">
        <v>36.839770999999999</v>
      </c>
      <c r="G19" s="11">
        <v>37.272891999999999</v>
      </c>
      <c r="H19" s="11">
        <v>37.884822999999997</v>
      </c>
      <c r="I19" s="11">
        <v>39.660865999999999</v>
      </c>
      <c r="J19" s="11">
        <v>40.361255999999997</v>
      </c>
      <c r="K19" s="11">
        <v>42.499637999999997</v>
      </c>
      <c r="L19" s="11">
        <v>44.843262000000003</v>
      </c>
      <c r="M19" s="11">
        <v>46.884045</v>
      </c>
      <c r="N19" s="11">
        <v>49.479979999999998</v>
      </c>
      <c r="O19" s="11">
        <v>52.48695</v>
      </c>
      <c r="P19" s="11">
        <v>53.531993999999997</v>
      </c>
      <c r="Q19" s="11">
        <v>55.773280999999997</v>
      </c>
      <c r="R19" s="11">
        <v>56.299354999999998</v>
      </c>
      <c r="S19" s="11">
        <v>56.298977000000001</v>
      </c>
      <c r="T19" s="11">
        <v>56.311973999999999</v>
      </c>
      <c r="U19" s="11">
        <v>56.337772000000001</v>
      </c>
      <c r="V19" s="11">
        <v>56.353293999999998</v>
      </c>
      <c r="W19" s="11">
        <v>56.36515</v>
      </c>
      <c r="X19" s="11">
        <v>56.374256000000003</v>
      </c>
      <c r="Y19" s="11">
        <v>56.382033999999997</v>
      </c>
      <c r="Z19" s="11">
        <v>56.382945999999997</v>
      </c>
      <c r="AA19" s="11">
        <v>56.384082999999997</v>
      </c>
      <c r="AB19" s="11">
        <v>56.385047999999998</v>
      </c>
      <c r="AC19" s="11">
        <v>56.383082999999999</v>
      </c>
      <c r="AD19" s="11">
        <v>56.381050000000002</v>
      </c>
      <c r="AE19" s="11">
        <v>56.364570999999998</v>
      </c>
      <c r="AF19" s="11">
        <v>56.347351000000003</v>
      </c>
      <c r="AG19" s="90">
        <v>1.6E-2</v>
      </c>
    </row>
    <row r="20" spans="1:33">
      <c r="A20" s="87" t="s">
        <v>195</v>
      </c>
      <c r="B20" s="11">
        <v>32.911903000000002</v>
      </c>
      <c r="C20" s="11">
        <v>33.325091999999998</v>
      </c>
      <c r="D20" s="11">
        <v>33.489798999999998</v>
      </c>
      <c r="E20" s="11">
        <v>33.595551</v>
      </c>
      <c r="F20" s="11">
        <v>34.006557000000001</v>
      </c>
      <c r="G20" s="11">
        <v>34.421565999999999</v>
      </c>
      <c r="H20" s="11">
        <v>34.988461000000001</v>
      </c>
      <c r="I20" s="11">
        <v>36.654842000000002</v>
      </c>
      <c r="J20" s="11">
        <v>37.305270999999998</v>
      </c>
      <c r="K20" s="11">
        <v>39.295493999999998</v>
      </c>
      <c r="L20" s="11">
        <v>41.477192000000002</v>
      </c>
      <c r="M20" s="11">
        <v>43.372131000000003</v>
      </c>
      <c r="N20" s="11">
        <v>45.767532000000003</v>
      </c>
      <c r="O20" s="11">
        <v>48.553547000000002</v>
      </c>
      <c r="P20" s="11">
        <v>49.515247000000002</v>
      </c>
      <c r="Q20" s="11">
        <v>51.593528999999997</v>
      </c>
      <c r="R20" s="11">
        <v>52.076949999999997</v>
      </c>
      <c r="S20" s="11">
        <v>52.076121999999998</v>
      </c>
      <c r="T20" s="11">
        <v>52.091011000000002</v>
      </c>
      <c r="U20" s="11">
        <v>52.116512</v>
      </c>
      <c r="V20" s="11">
        <v>52.13205</v>
      </c>
      <c r="W20" s="11">
        <v>52.144489</v>
      </c>
      <c r="X20" s="11">
        <v>52.154099000000002</v>
      </c>
      <c r="Y20" s="11">
        <v>52.163012999999999</v>
      </c>
      <c r="Z20" s="11">
        <v>52.164692000000002</v>
      </c>
      <c r="AA20" s="11">
        <v>52.167048999999999</v>
      </c>
      <c r="AB20" s="11">
        <v>52.16901</v>
      </c>
      <c r="AC20" s="11">
        <v>52.168213000000002</v>
      </c>
      <c r="AD20" s="11">
        <v>52.167419000000002</v>
      </c>
      <c r="AE20" s="11">
        <v>52.152386</v>
      </c>
      <c r="AF20" s="11">
        <v>52.136581</v>
      </c>
      <c r="AG20" s="90">
        <v>1.6E-2</v>
      </c>
    </row>
    <row r="21" spans="1:33">
      <c r="A21" s="87" t="s">
        <v>196</v>
      </c>
      <c r="B21" s="11">
        <v>34.143135000000001</v>
      </c>
      <c r="C21" s="11">
        <v>33.310161999999998</v>
      </c>
      <c r="D21" s="11">
        <v>33.139442000000003</v>
      </c>
      <c r="E21" s="11">
        <v>33.200282999999999</v>
      </c>
      <c r="F21" s="11">
        <v>33.648536999999997</v>
      </c>
      <c r="G21" s="11">
        <v>34.04092</v>
      </c>
      <c r="H21" s="11">
        <v>34.461235000000002</v>
      </c>
      <c r="I21" s="11">
        <v>36.411479999999997</v>
      </c>
      <c r="J21" s="11">
        <v>36.984870999999998</v>
      </c>
      <c r="K21" s="11">
        <v>39.236263000000001</v>
      </c>
      <c r="L21" s="11">
        <v>41.728821000000003</v>
      </c>
      <c r="M21" s="11">
        <v>43.809314999999998</v>
      </c>
      <c r="N21" s="11">
        <v>46.705756999999998</v>
      </c>
      <c r="O21" s="11">
        <v>49.923828</v>
      </c>
      <c r="P21" s="11">
        <v>50.738700999999999</v>
      </c>
      <c r="Q21" s="11">
        <v>52.951312999999999</v>
      </c>
      <c r="R21" s="11">
        <v>53.320659999999997</v>
      </c>
      <c r="S21" s="11">
        <v>53.317462999999996</v>
      </c>
      <c r="T21" s="11">
        <v>53.338413000000003</v>
      </c>
      <c r="U21" s="11">
        <v>53.399566999999998</v>
      </c>
      <c r="V21" s="11">
        <v>53.446522000000002</v>
      </c>
      <c r="W21" s="11">
        <v>53.487236000000003</v>
      </c>
      <c r="X21" s="11">
        <v>53.519008999999997</v>
      </c>
      <c r="Y21" s="11">
        <v>53.547320999999997</v>
      </c>
      <c r="Z21" s="11">
        <v>53.564563999999997</v>
      </c>
      <c r="AA21" s="11">
        <v>53.579555999999997</v>
      </c>
      <c r="AB21" s="11">
        <v>53.594603999999997</v>
      </c>
      <c r="AC21" s="11">
        <v>53.603642000000001</v>
      </c>
      <c r="AD21" s="11">
        <v>53.613041000000003</v>
      </c>
      <c r="AE21" s="11">
        <v>53.619377</v>
      </c>
      <c r="AF21" s="11">
        <v>53.622363999999997</v>
      </c>
      <c r="AG21" s="90">
        <v>1.7000000000000001E-2</v>
      </c>
    </row>
    <row r="22" spans="1:33">
      <c r="A22" s="87" t="s">
        <v>197</v>
      </c>
      <c r="B22" s="11">
        <v>33.249504000000002</v>
      </c>
      <c r="C22" s="11">
        <v>33.621997999999998</v>
      </c>
      <c r="D22" s="11">
        <v>33.843822000000003</v>
      </c>
      <c r="E22" s="11">
        <v>33.953052999999997</v>
      </c>
      <c r="F22" s="11">
        <v>34.350540000000002</v>
      </c>
      <c r="G22" s="11">
        <v>34.749721999999998</v>
      </c>
      <c r="H22" s="11">
        <v>35.328598</v>
      </c>
      <c r="I22" s="11">
        <v>36.934024999999998</v>
      </c>
      <c r="J22" s="11">
        <v>37.577590999999998</v>
      </c>
      <c r="K22" s="11">
        <v>39.482430000000001</v>
      </c>
      <c r="L22" s="11">
        <v>41.578789</v>
      </c>
      <c r="M22" s="11">
        <v>43.432014000000002</v>
      </c>
      <c r="N22" s="11">
        <v>45.771729000000001</v>
      </c>
      <c r="O22" s="11">
        <v>48.543232000000003</v>
      </c>
      <c r="P22" s="11">
        <v>49.501904000000003</v>
      </c>
      <c r="Q22" s="11">
        <v>51.529792999999998</v>
      </c>
      <c r="R22" s="11">
        <v>52.016891000000001</v>
      </c>
      <c r="S22" s="11">
        <v>52.012805999999998</v>
      </c>
      <c r="T22" s="11">
        <v>52.021877000000003</v>
      </c>
      <c r="U22" s="11">
        <v>52.04081</v>
      </c>
      <c r="V22" s="11">
        <v>52.051425999999999</v>
      </c>
      <c r="W22" s="11">
        <v>52.059341000000003</v>
      </c>
      <c r="X22" s="11">
        <v>52.06485</v>
      </c>
      <c r="Y22" s="11">
        <v>52.067656999999997</v>
      </c>
      <c r="Z22" s="11">
        <v>52.065322999999999</v>
      </c>
      <c r="AA22" s="11">
        <v>52.063170999999997</v>
      </c>
      <c r="AB22" s="11">
        <v>52.06118</v>
      </c>
      <c r="AC22" s="11">
        <v>52.056786000000002</v>
      </c>
      <c r="AD22" s="11">
        <v>52.052371999999998</v>
      </c>
      <c r="AE22" s="11">
        <v>52.034874000000002</v>
      </c>
      <c r="AF22" s="11">
        <v>52.017100999999997</v>
      </c>
      <c r="AG22" s="90">
        <v>1.4999999999999999E-2</v>
      </c>
    </row>
    <row r="23" spans="1:33">
      <c r="A23" s="87" t="s">
        <v>198</v>
      </c>
      <c r="B23" s="11">
        <v>0</v>
      </c>
      <c r="C23" s="11">
        <v>0</v>
      </c>
      <c r="D23" s="11">
        <v>0</v>
      </c>
      <c r="E23" s="11">
        <v>0</v>
      </c>
      <c r="F23" s="11">
        <v>0</v>
      </c>
      <c r="G23" s="11">
        <v>0</v>
      </c>
      <c r="H23" s="11">
        <v>0</v>
      </c>
      <c r="I23" s="11">
        <v>0</v>
      </c>
      <c r="J23" s="11">
        <v>0</v>
      </c>
      <c r="K23" s="11">
        <v>0</v>
      </c>
      <c r="L23" s="11">
        <v>0</v>
      </c>
      <c r="M23" s="11">
        <v>0</v>
      </c>
      <c r="N23" s="11">
        <v>0</v>
      </c>
      <c r="O23" s="11">
        <v>0</v>
      </c>
      <c r="P23" s="11">
        <v>0</v>
      </c>
      <c r="Q23" s="11">
        <v>0</v>
      </c>
      <c r="R23" s="11">
        <v>0</v>
      </c>
      <c r="S23" s="11">
        <v>0</v>
      </c>
      <c r="T23" s="11">
        <v>0</v>
      </c>
      <c r="U23" s="11">
        <v>0</v>
      </c>
      <c r="V23" s="11">
        <v>0</v>
      </c>
      <c r="W23" s="11">
        <v>0</v>
      </c>
      <c r="X23" s="11">
        <v>0</v>
      </c>
      <c r="Y23" s="11">
        <v>0</v>
      </c>
      <c r="Z23" s="11">
        <v>0</v>
      </c>
      <c r="AA23" s="11">
        <v>0</v>
      </c>
      <c r="AB23" s="11">
        <v>0</v>
      </c>
      <c r="AC23" s="11">
        <v>0</v>
      </c>
      <c r="AD23" s="11">
        <v>0</v>
      </c>
      <c r="AE23" s="11">
        <v>0</v>
      </c>
      <c r="AF23" s="11">
        <v>0</v>
      </c>
      <c r="AG23" s="11" t="s">
        <v>190</v>
      </c>
    </row>
    <row r="24" spans="1:33">
      <c r="A24" s="87" t="s">
        <v>199</v>
      </c>
      <c r="B24" s="11">
        <v>0</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t="s">
        <v>190</v>
      </c>
    </row>
    <row r="25" spans="1:33">
      <c r="A25" s="87" t="s">
        <v>200</v>
      </c>
      <c r="B25" s="11">
        <v>0</v>
      </c>
      <c r="C25" s="11">
        <v>0</v>
      </c>
      <c r="D25" s="11">
        <v>0</v>
      </c>
      <c r="E25" s="11">
        <v>0</v>
      </c>
      <c r="F25" s="11">
        <v>0</v>
      </c>
      <c r="G25" s="11">
        <v>47.221786000000002</v>
      </c>
      <c r="H25" s="11">
        <v>47.312576</v>
      </c>
      <c r="I25" s="11">
        <v>52.825023999999999</v>
      </c>
      <c r="J25" s="11">
        <v>52.948417999999997</v>
      </c>
      <c r="K25" s="11">
        <v>53.156033000000001</v>
      </c>
      <c r="L25" s="11">
        <v>53.459206000000002</v>
      </c>
      <c r="M25" s="11">
        <v>53.803542999999998</v>
      </c>
      <c r="N25" s="11">
        <v>54.245159000000001</v>
      </c>
      <c r="O25" s="11">
        <v>54.716000000000001</v>
      </c>
      <c r="P25" s="11">
        <v>54.701129999999999</v>
      </c>
      <c r="Q25" s="11">
        <v>54.713909000000001</v>
      </c>
      <c r="R25" s="11">
        <v>54.692492999999999</v>
      </c>
      <c r="S25" s="11">
        <v>54.689059999999998</v>
      </c>
      <c r="T25" s="11">
        <v>54.689964000000003</v>
      </c>
      <c r="U25" s="11">
        <v>54.702328000000001</v>
      </c>
      <c r="V25" s="11">
        <v>54.712994000000002</v>
      </c>
      <c r="W25" s="11">
        <v>54.711384000000002</v>
      </c>
      <c r="X25" s="11">
        <v>54.708266999999999</v>
      </c>
      <c r="Y25" s="11">
        <v>54.707183999999998</v>
      </c>
      <c r="Z25" s="11">
        <v>54.703074999999998</v>
      </c>
      <c r="AA25" s="11">
        <v>54.702179000000001</v>
      </c>
      <c r="AB25" s="11">
        <v>54.700367</v>
      </c>
      <c r="AC25" s="11">
        <v>54.698788</v>
      </c>
      <c r="AD25" s="11">
        <v>54.697754000000003</v>
      </c>
      <c r="AE25" s="11">
        <v>54.697571000000003</v>
      </c>
      <c r="AF25" s="11">
        <v>54.697014000000003</v>
      </c>
      <c r="AG25" s="11" t="s">
        <v>190</v>
      </c>
    </row>
    <row r="26" spans="1:33">
      <c r="A26" s="87"/>
    </row>
    <row r="27" spans="1:33">
      <c r="A27" s="89" t="s">
        <v>201</v>
      </c>
      <c r="B27" s="91">
        <v>36.126246999999999</v>
      </c>
      <c r="C27" s="91">
        <v>37.390011000000001</v>
      </c>
      <c r="D27" s="91">
        <v>36.679619000000002</v>
      </c>
      <c r="E27" s="91">
        <v>36.926796000000003</v>
      </c>
      <c r="F27" s="91">
        <v>37.568409000000003</v>
      </c>
      <c r="G27" s="91">
        <v>37.900528000000001</v>
      </c>
      <c r="H27" s="91">
        <v>38.607132</v>
      </c>
      <c r="I27" s="91">
        <v>40.077961000000002</v>
      </c>
      <c r="J27" s="91">
        <v>40.893036000000002</v>
      </c>
      <c r="K27" s="91">
        <v>42.564945000000002</v>
      </c>
      <c r="L27" s="91">
        <v>44.439776999999999</v>
      </c>
      <c r="M27" s="91">
        <v>46.440063000000002</v>
      </c>
      <c r="N27" s="91">
        <v>48.738182000000002</v>
      </c>
      <c r="O27" s="91">
        <v>51.308193000000003</v>
      </c>
      <c r="P27" s="91">
        <v>52.549605999999997</v>
      </c>
      <c r="Q27" s="91">
        <v>55.044086</v>
      </c>
      <c r="R27" s="91">
        <v>55.433128000000004</v>
      </c>
      <c r="S27" s="91">
        <v>55.419761999999999</v>
      </c>
      <c r="T27" s="91">
        <v>55.489055999999998</v>
      </c>
      <c r="U27" s="91">
        <v>55.556755000000003</v>
      </c>
      <c r="V27" s="91">
        <v>55.622723000000001</v>
      </c>
      <c r="W27" s="91">
        <v>55.701816999999998</v>
      </c>
      <c r="X27" s="91">
        <v>55.738041000000003</v>
      </c>
      <c r="Y27" s="91">
        <v>55.793982999999997</v>
      </c>
      <c r="Z27" s="91">
        <v>55.835293</v>
      </c>
      <c r="AA27" s="91">
        <v>55.855457000000001</v>
      </c>
      <c r="AB27" s="91">
        <v>55.906647</v>
      </c>
      <c r="AC27" s="91">
        <v>55.955505000000002</v>
      </c>
      <c r="AD27" s="91">
        <v>56.011082000000002</v>
      </c>
      <c r="AE27" s="91">
        <v>56.068851000000002</v>
      </c>
      <c r="AF27" s="91">
        <v>56.139622000000003</v>
      </c>
      <c r="AG27" s="92">
        <v>1.4E-2</v>
      </c>
    </row>
    <row r="28" spans="1:33">
      <c r="A28" s="87"/>
    </row>
    <row r="29" spans="1:33">
      <c r="A29" s="89" t="s">
        <v>202</v>
      </c>
    </row>
    <row r="30" spans="1:33">
      <c r="A30" s="89" t="s">
        <v>203</v>
      </c>
    </row>
    <row r="31" spans="1:33">
      <c r="A31" s="87" t="s">
        <v>183</v>
      </c>
      <c r="B31" s="11">
        <v>26.555025000000001</v>
      </c>
      <c r="C31" s="11">
        <v>26.947384</v>
      </c>
      <c r="D31" s="11">
        <v>27.152096</v>
      </c>
      <c r="E31" s="11">
        <v>27.237299</v>
      </c>
      <c r="F31" s="11">
        <v>27.654156</v>
      </c>
      <c r="G31" s="11">
        <v>28.051655</v>
      </c>
      <c r="H31" s="11">
        <v>28.471261999999999</v>
      </c>
      <c r="I31" s="11">
        <v>28.995766</v>
      </c>
      <c r="J31" s="11">
        <v>29.853128000000002</v>
      </c>
      <c r="K31" s="11">
        <v>30.226514999999999</v>
      </c>
      <c r="L31" s="11">
        <v>31.531471</v>
      </c>
      <c r="M31" s="11">
        <v>33.238357999999998</v>
      </c>
      <c r="N31" s="11">
        <v>34.392966999999999</v>
      </c>
      <c r="O31" s="11">
        <v>35.934429000000002</v>
      </c>
      <c r="P31" s="11">
        <v>37.722968999999999</v>
      </c>
      <c r="Q31" s="11">
        <v>39.444771000000003</v>
      </c>
      <c r="R31" s="11">
        <v>39.483494</v>
      </c>
      <c r="S31" s="11">
        <v>39.556992000000001</v>
      </c>
      <c r="T31" s="11">
        <v>39.626804</v>
      </c>
      <c r="U31" s="11">
        <v>39.694915999999999</v>
      </c>
      <c r="V31" s="11">
        <v>39.749237000000001</v>
      </c>
      <c r="W31" s="11">
        <v>39.790225999999997</v>
      </c>
      <c r="X31" s="11">
        <v>39.821289</v>
      </c>
      <c r="Y31" s="11">
        <v>39.842419</v>
      </c>
      <c r="Z31" s="11">
        <v>39.836844999999997</v>
      </c>
      <c r="AA31" s="11">
        <v>39.820323999999999</v>
      </c>
      <c r="AB31" s="11">
        <v>39.806080000000001</v>
      </c>
      <c r="AC31" s="11">
        <v>39.791538000000003</v>
      </c>
      <c r="AD31" s="11">
        <v>39.779792999999998</v>
      </c>
      <c r="AE31" s="11">
        <v>39.770972999999998</v>
      </c>
      <c r="AF31" s="11">
        <v>39.771735999999997</v>
      </c>
      <c r="AG31" s="90">
        <v>1.4E-2</v>
      </c>
    </row>
    <row r="32" spans="1:33">
      <c r="A32" s="87" t="s">
        <v>184</v>
      </c>
      <c r="B32" s="11">
        <v>33.868693999999998</v>
      </c>
      <c r="C32" s="11">
        <v>34.307471999999997</v>
      </c>
      <c r="D32" s="11">
        <v>34.436321</v>
      </c>
      <c r="E32" s="11">
        <v>34.550956999999997</v>
      </c>
      <c r="F32" s="11">
        <v>34.835380999999998</v>
      </c>
      <c r="G32" s="11">
        <v>35.100062999999999</v>
      </c>
      <c r="H32" s="11">
        <v>35.453685999999998</v>
      </c>
      <c r="I32" s="11">
        <v>35.467365000000001</v>
      </c>
      <c r="J32" s="11">
        <v>36.311656999999997</v>
      </c>
      <c r="K32" s="11">
        <v>36.271233000000002</v>
      </c>
      <c r="L32" s="11">
        <v>37.483916999999998</v>
      </c>
      <c r="M32" s="11">
        <v>38.674534000000001</v>
      </c>
      <c r="N32" s="11">
        <v>39.911541</v>
      </c>
      <c r="O32" s="11">
        <v>41.038643</v>
      </c>
      <c r="P32" s="11">
        <v>42.324451000000003</v>
      </c>
      <c r="Q32" s="11">
        <v>43.528198000000003</v>
      </c>
      <c r="R32" s="11">
        <v>43.556339000000001</v>
      </c>
      <c r="S32" s="11">
        <v>43.596446999999998</v>
      </c>
      <c r="T32" s="11">
        <v>43.650204000000002</v>
      </c>
      <c r="U32" s="11">
        <v>43.699134999999998</v>
      </c>
      <c r="V32" s="11">
        <v>43.727271999999999</v>
      </c>
      <c r="W32" s="11">
        <v>43.729897000000001</v>
      </c>
      <c r="X32" s="11">
        <v>43.724663</v>
      </c>
      <c r="Y32" s="11">
        <v>43.612720000000003</v>
      </c>
      <c r="Z32" s="11">
        <v>43.579310999999997</v>
      </c>
      <c r="AA32" s="11">
        <v>43.54121</v>
      </c>
      <c r="AB32" s="11">
        <v>43.497433000000001</v>
      </c>
      <c r="AC32" s="11">
        <v>43.499873999999998</v>
      </c>
      <c r="AD32" s="11">
        <v>43.499167999999997</v>
      </c>
      <c r="AE32" s="11">
        <v>43.461098</v>
      </c>
      <c r="AF32" s="11">
        <v>43.409950000000002</v>
      </c>
      <c r="AG32" s="90">
        <v>8.0000000000000002E-3</v>
      </c>
    </row>
    <row r="33" spans="1:33">
      <c r="A33" s="87"/>
    </row>
    <row r="34" spans="1:33">
      <c r="A34" s="89" t="s">
        <v>204</v>
      </c>
    </row>
    <row r="35" spans="1:33">
      <c r="A35" s="87" t="s">
        <v>186</v>
      </c>
      <c r="B35" s="11">
        <v>26.923378</v>
      </c>
      <c r="C35" s="11">
        <v>27.264316999999998</v>
      </c>
      <c r="D35" s="11">
        <v>27.494842999999999</v>
      </c>
      <c r="E35" s="11">
        <v>27.576906000000001</v>
      </c>
      <c r="F35" s="11">
        <v>27.979254000000001</v>
      </c>
      <c r="G35" s="11">
        <v>28.388162999999999</v>
      </c>
      <c r="H35" s="11">
        <v>28.80442</v>
      </c>
      <c r="I35" s="11">
        <v>29.325244999999999</v>
      </c>
      <c r="J35" s="11">
        <v>30.181039999999999</v>
      </c>
      <c r="K35" s="11">
        <v>30.554628000000001</v>
      </c>
      <c r="L35" s="11">
        <v>31.861681000000001</v>
      </c>
      <c r="M35" s="11">
        <v>33.574738000000004</v>
      </c>
      <c r="N35" s="11">
        <v>34.735889</v>
      </c>
      <c r="O35" s="11">
        <v>36.277203</v>
      </c>
      <c r="P35" s="11">
        <v>38.055079999999997</v>
      </c>
      <c r="Q35" s="11">
        <v>39.795216000000003</v>
      </c>
      <c r="R35" s="11">
        <v>39.829448999999997</v>
      </c>
      <c r="S35" s="11">
        <v>39.867111000000001</v>
      </c>
      <c r="T35" s="11">
        <v>39.929619000000002</v>
      </c>
      <c r="U35" s="11">
        <v>39.998058</v>
      </c>
      <c r="V35" s="11">
        <v>40.052917000000001</v>
      </c>
      <c r="W35" s="11">
        <v>40.092880000000001</v>
      </c>
      <c r="X35" s="11">
        <v>40.123493000000003</v>
      </c>
      <c r="Y35" s="11">
        <v>40.147606000000003</v>
      </c>
      <c r="Z35" s="11">
        <v>40.126640000000002</v>
      </c>
      <c r="AA35" s="11">
        <v>40.10857</v>
      </c>
      <c r="AB35" s="11">
        <v>40.091019000000003</v>
      </c>
      <c r="AC35" s="11">
        <v>40.074711000000001</v>
      </c>
      <c r="AD35" s="11">
        <v>40.060412999999997</v>
      </c>
      <c r="AE35" s="11">
        <v>40.052180999999997</v>
      </c>
      <c r="AF35" s="11">
        <v>40.012833000000001</v>
      </c>
      <c r="AG35" s="90">
        <v>1.2999999999999999E-2</v>
      </c>
    </row>
    <row r="36" spans="1:33">
      <c r="A36" s="87" t="s">
        <v>187</v>
      </c>
      <c r="B36" s="11">
        <v>122.969139</v>
      </c>
      <c r="C36" s="11">
        <v>123.766823</v>
      </c>
      <c r="D36" s="11">
        <v>124.969337</v>
      </c>
      <c r="E36" s="11">
        <v>126.286736</v>
      </c>
      <c r="F36" s="11">
        <v>124.996765</v>
      </c>
      <c r="G36" s="11">
        <v>124.388199</v>
      </c>
      <c r="H36" s="11">
        <v>127.323463</v>
      </c>
      <c r="I36" s="11">
        <v>123.61086299999999</v>
      </c>
      <c r="J36" s="11">
        <v>126.77512400000001</v>
      </c>
      <c r="K36" s="11">
        <v>129.696045</v>
      </c>
      <c r="L36" s="11">
        <v>134.88204999999999</v>
      </c>
      <c r="M36" s="11">
        <v>140.71414200000001</v>
      </c>
      <c r="N36" s="11">
        <v>146.87455700000001</v>
      </c>
      <c r="O36" s="11">
        <v>153.31459000000001</v>
      </c>
      <c r="P36" s="11">
        <v>157.17730700000001</v>
      </c>
      <c r="Q36" s="11">
        <v>160.52368200000001</v>
      </c>
      <c r="R36" s="11">
        <v>160.60763499999999</v>
      </c>
      <c r="S36" s="11">
        <v>160.76698300000001</v>
      </c>
      <c r="T36" s="11">
        <v>160.93206799999999</v>
      </c>
      <c r="U36" s="11">
        <v>161.09259</v>
      </c>
      <c r="V36" s="11">
        <v>161.24951200000001</v>
      </c>
      <c r="W36" s="11">
        <v>161.340439</v>
      </c>
      <c r="X36" s="11">
        <v>161.43841599999999</v>
      </c>
      <c r="Y36" s="11">
        <v>161.53675799999999</v>
      </c>
      <c r="Z36" s="11">
        <v>161.63468900000001</v>
      </c>
      <c r="AA36" s="11">
        <v>161.75588999999999</v>
      </c>
      <c r="AB36" s="11">
        <v>161.886673</v>
      </c>
      <c r="AC36" s="11">
        <v>162.015366</v>
      </c>
      <c r="AD36" s="11">
        <v>162.14392100000001</v>
      </c>
      <c r="AE36" s="11">
        <v>162.27032500000001</v>
      </c>
      <c r="AF36" s="11">
        <v>162.395645</v>
      </c>
      <c r="AG36" s="90">
        <v>8.9999999999999993E-3</v>
      </c>
    </row>
    <row r="37" spans="1:33">
      <c r="A37" s="87" t="s">
        <v>188</v>
      </c>
      <c r="B37" s="11">
        <v>0</v>
      </c>
      <c r="C37" s="11">
        <v>0</v>
      </c>
      <c r="D37" s="11">
        <v>0</v>
      </c>
      <c r="E37" s="11">
        <v>0</v>
      </c>
      <c r="F37" s="11">
        <v>0</v>
      </c>
      <c r="G37" s="11">
        <v>0</v>
      </c>
      <c r="H37" s="11">
        <v>69.595894000000001</v>
      </c>
      <c r="I37" s="11">
        <v>73.268150000000006</v>
      </c>
      <c r="J37" s="11">
        <v>77.780097999999995</v>
      </c>
      <c r="K37" s="11">
        <v>82.305305000000004</v>
      </c>
      <c r="L37" s="11">
        <v>88.656197000000006</v>
      </c>
      <c r="M37" s="11">
        <v>95.629585000000006</v>
      </c>
      <c r="N37" s="11">
        <v>103.766068</v>
      </c>
      <c r="O37" s="11">
        <v>113.224884</v>
      </c>
      <c r="P37" s="11">
        <v>116.328957</v>
      </c>
      <c r="Q37" s="11">
        <v>119.176956</v>
      </c>
      <c r="R37" s="11">
        <v>119.75988</v>
      </c>
      <c r="S37" s="11">
        <v>120.36972</v>
      </c>
      <c r="T37" s="11">
        <v>120.968407</v>
      </c>
      <c r="U37" s="11">
        <v>121.55651899999999</v>
      </c>
      <c r="V37" s="11">
        <v>122.136459</v>
      </c>
      <c r="W37" s="11">
        <v>122.522186</v>
      </c>
      <c r="X37" s="11">
        <v>122.908951</v>
      </c>
      <c r="Y37" s="11">
        <v>123.297676</v>
      </c>
      <c r="Z37" s="11">
        <v>123.68549299999999</v>
      </c>
      <c r="AA37" s="11">
        <v>124.073769</v>
      </c>
      <c r="AB37" s="11">
        <v>124.46463799999999</v>
      </c>
      <c r="AC37" s="11">
        <v>124.851204</v>
      </c>
      <c r="AD37" s="11">
        <v>125.2351</v>
      </c>
      <c r="AE37" s="11">
        <v>125.616165</v>
      </c>
      <c r="AF37" s="11">
        <v>125.99475099999999</v>
      </c>
      <c r="AG37" s="11" t="s">
        <v>190</v>
      </c>
    </row>
    <row r="38" spans="1:33">
      <c r="A38" s="87" t="s">
        <v>189</v>
      </c>
      <c r="B38" s="11">
        <v>0</v>
      </c>
      <c r="C38" s="11">
        <v>0</v>
      </c>
      <c r="D38" s="11">
        <v>0</v>
      </c>
      <c r="E38" s="11">
        <v>0</v>
      </c>
      <c r="F38" s="11">
        <v>0</v>
      </c>
      <c r="G38" s="11">
        <v>48.510468000000003</v>
      </c>
      <c r="H38" s="11">
        <v>48.588706999999999</v>
      </c>
      <c r="I38" s="11">
        <v>48.840572000000002</v>
      </c>
      <c r="J38" s="11">
        <v>48.988384000000003</v>
      </c>
      <c r="K38" s="11">
        <v>49.227497</v>
      </c>
      <c r="L38" s="11">
        <v>50.829113</v>
      </c>
      <c r="M38" s="11">
        <v>53.452187000000002</v>
      </c>
      <c r="N38" s="11">
        <v>56.126018999999999</v>
      </c>
      <c r="O38" s="11">
        <v>58.326976999999999</v>
      </c>
      <c r="P38" s="11">
        <v>62.190201000000002</v>
      </c>
      <c r="Q38" s="11">
        <v>66.074661000000006</v>
      </c>
      <c r="R38" s="11">
        <v>67.001525999999998</v>
      </c>
      <c r="S38" s="11">
        <v>66.934180999999995</v>
      </c>
      <c r="T38" s="11">
        <v>66.374474000000006</v>
      </c>
      <c r="U38" s="11">
        <v>66.178237999999993</v>
      </c>
      <c r="V38" s="11">
        <v>66.128128000000004</v>
      </c>
      <c r="W38" s="11">
        <v>66.114829999999998</v>
      </c>
      <c r="X38" s="11">
        <v>66.112373000000005</v>
      </c>
      <c r="Y38" s="11">
        <v>66.112633000000002</v>
      </c>
      <c r="Z38" s="11">
        <v>66.098350999999994</v>
      </c>
      <c r="AA38" s="11">
        <v>66.042525999999995</v>
      </c>
      <c r="AB38" s="11">
        <v>66.067413000000002</v>
      </c>
      <c r="AC38" s="11">
        <v>66.046020999999996</v>
      </c>
      <c r="AD38" s="11">
        <v>66.022789000000003</v>
      </c>
      <c r="AE38" s="11">
        <v>65.994040999999996</v>
      </c>
      <c r="AF38" s="11">
        <v>65.963134999999994</v>
      </c>
      <c r="AG38" s="11" t="s">
        <v>190</v>
      </c>
    </row>
    <row r="39" spans="1:33">
      <c r="A39" s="87" t="s">
        <v>191</v>
      </c>
      <c r="B39" s="11">
        <v>0</v>
      </c>
      <c r="C39" s="11">
        <v>0</v>
      </c>
      <c r="D39" s="11">
        <v>0</v>
      </c>
      <c r="E39" s="11">
        <v>0</v>
      </c>
      <c r="F39" s="11">
        <v>0</v>
      </c>
      <c r="G39" s="11">
        <v>0</v>
      </c>
      <c r="H39" s="11">
        <v>0</v>
      </c>
      <c r="I39" s="11">
        <v>0</v>
      </c>
      <c r="J39" s="11">
        <v>0</v>
      </c>
      <c r="K39" s="11">
        <v>0</v>
      </c>
      <c r="L39" s="11">
        <v>0</v>
      </c>
      <c r="M39" s="11">
        <v>0</v>
      </c>
      <c r="N39" s="11">
        <v>0</v>
      </c>
      <c r="O39" s="11">
        <v>0</v>
      </c>
      <c r="P39" s="11">
        <v>0</v>
      </c>
      <c r="Q39" s="11">
        <v>0</v>
      </c>
      <c r="R39" s="11">
        <v>0</v>
      </c>
      <c r="S39" s="11">
        <v>0</v>
      </c>
      <c r="T39" s="11">
        <v>0</v>
      </c>
      <c r="U39" s="11">
        <v>0</v>
      </c>
      <c r="V39" s="11">
        <v>0</v>
      </c>
      <c r="W39" s="11">
        <v>0</v>
      </c>
      <c r="X39" s="11">
        <v>0</v>
      </c>
      <c r="Y39" s="11">
        <v>0</v>
      </c>
      <c r="Z39" s="11">
        <v>0</v>
      </c>
      <c r="AA39" s="11">
        <v>0</v>
      </c>
      <c r="AB39" s="11">
        <v>0</v>
      </c>
      <c r="AC39" s="11">
        <v>0</v>
      </c>
      <c r="AD39" s="11">
        <v>0</v>
      </c>
      <c r="AE39" s="11">
        <v>0</v>
      </c>
      <c r="AF39" s="11">
        <v>0</v>
      </c>
      <c r="AG39" s="11" t="s">
        <v>190</v>
      </c>
    </row>
    <row r="40" spans="1:33">
      <c r="A40" s="87" t="s">
        <v>192</v>
      </c>
      <c r="B40" s="11">
        <v>0</v>
      </c>
      <c r="C40" s="11">
        <v>0</v>
      </c>
      <c r="D40" s="11">
        <v>0</v>
      </c>
      <c r="E40" s="11">
        <v>0</v>
      </c>
      <c r="F40" s="11">
        <v>0</v>
      </c>
      <c r="G40" s="11">
        <v>43.596862999999999</v>
      </c>
      <c r="H40" s="11">
        <v>43.662025</v>
      </c>
      <c r="I40" s="11">
        <v>42.682796000000003</v>
      </c>
      <c r="J40" s="11">
        <v>42.934288000000002</v>
      </c>
      <c r="K40" s="11">
        <v>43.182158999999999</v>
      </c>
      <c r="L40" s="11">
        <v>51.409602999999997</v>
      </c>
      <c r="M40" s="11">
        <v>51.940944999999999</v>
      </c>
      <c r="N40" s="11">
        <v>53.522125000000003</v>
      </c>
      <c r="O40" s="11">
        <v>54.785995</v>
      </c>
      <c r="P40" s="11">
        <v>55.991866999999999</v>
      </c>
      <c r="Q40" s="11">
        <v>57.565807</v>
      </c>
      <c r="R40" s="11">
        <v>57.549605999999997</v>
      </c>
      <c r="S40" s="11">
        <v>57.550120999999997</v>
      </c>
      <c r="T40" s="11">
        <v>57.572899</v>
      </c>
      <c r="U40" s="11">
        <v>57.609107999999999</v>
      </c>
      <c r="V40" s="11">
        <v>57.498488999999999</v>
      </c>
      <c r="W40" s="11">
        <v>56.542468999999997</v>
      </c>
      <c r="X40" s="11">
        <v>54.559249999999999</v>
      </c>
      <c r="Y40" s="11">
        <v>53.370776999999997</v>
      </c>
      <c r="Z40" s="11">
        <v>53.422713999999999</v>
      </c>
      <c r="AA40" s="11">
        <v>53.457596000000002</v>
      </c>
      <c r="AB40" s="11">
        <v>53.469166000000001</v>
      </c>
      <c r="AC40" s="11">
        <v>53.464455000000001</v>
      </c>
      <c r="AD40" s="11">
        <v>53.458942</v>
      </c>
      <c r="AE40" s="11">
        <v>54.090237000000002</v>
      </c>
      <c r="AF40" s="11">
        <v>53.457008000000002</v>
      </c>
      <c r="AG40" s="11" t="s">
        <v>190</v>
      </c>
    </row>
    <row r="41" spans="1:33">
      <c r="A41" s="87" t="s">
        <v>193</v>
      </c>
      <c r="B41" s="11">
        <v>39.368462000000001</v>
      </c>
      <c r="C41" s="11">
        <v>39.538395000000001</v>
      </c>
      <c r="D41" s="11">
        <v>39.539504999999998</v>
      </c>
      <c r="E41" s="11">
        <v>39.567993000000001</v>
      </c>
      <c r="F41" s="11">
        <v>39.80415</v>
      </c>
      <c r="G41" s="11">
        <v>40.03698</v>
      </c>
      <c r="H41" s="11">
        <v>40.491142000000004</v>
      </c>
      <c r="I41" s="11">
        <v>40.549801000000002</v>
      </c>
      <c r="J41" s="11">
        <v>41.295546999999999</v>
      </c>
      <c r="K41" s="11">
        <v>41.715499999999999</v>
      </c>
      <c r="L41" s="11">
        <v>43.141209000000003</v>
      </c>
      <c r="M41" s="11">
        <v>45.630882</v>
      </c>
      <c r="N41" s="11">
        <v>48.189929999999997</v>
      </c>
      <c r="O41" s="11">
        <v>51.420268999999998</v>
      </c>
      <c r="P41" s="11">
        <v>54.546836999999996</v>
      </c>
      <c r="Q41" s="11">
        <v>57.174294000000003</v>
      </c>
      <c r="R41" s="11">
        <v>57.189621000000002</v>
      </c>
      <c r="S41" s="11">
        <v>57.24633</v>
      </c>
      <c r="T41" s="11">
        <v>57.323433000000001</v>
      </c>
      <c r="U41" s="11">
        <v>57.415737</v>
      </c>
      <c r="V41" s="11">
        <v>57.476920999999997</v>
      </c>
      <c r="W41" s="11">
        <v>57.508259000000002</v>
      </c>
      <c r="X41" s="11">
        <v>57.533695000000002</v>
      </c>
      <c r="Y41" s="11">
        <v>57.558449000000003</v>
      </c>
      <c r="Z41" s="11">
        <v>57.568328999999999</v>
      </c>
      <c r="AA41" s="11">
        <v>57.574184000000002</v>
      </c>
      <c r="AB41" s="11">
        <v>57.578052999999997</v>
      </c>
      <c r="AC41" s="11">
        <v>57.569313000000001</v>
      </c>
      <c r="AD41" s="11">
        <v>57.554268</v>
      </c>
      <c r="AE41" s="11">
        <v>57.538578000000001</v>
      </c>
      <c r="AF41" s="11">
        <v>57.527065</v>
      </c>
      <c r="AG41" s="90">
        <v>1.2999999999999999E-2</v>
      </c>
    </row>
    <row r="42" spans="1:33">
      <c r="A42" s="87" t="s">
        <v>194</v>
      </c>
      <c r="B42" s="11">
        <v>28.056791</v>
      </c>
      <c r="C42" s="11">
        <v>28.454906000000001</v>
      </c>
      <c r="D42" s="11">
        <v>28.638708000000001</v>
      </c>
      <c r="E42" s="11">
        <v>28.715525</v>
      </c>
      <c r="F42" s="11">
        <v>29.077286000000001</v>
      </c>
      <c r="G42" s="11">
        <v>29.439147999999999</v>
      </c>
      <c r="H42" s="11">
        <v>29.790958</v>
      </c>
      <c r="I42" s="11">
        <v>30.312816999999999</v>
      </c>
      <c r="J42" s="11">
        <v>31.142264999999998</v>
      </c>
      <c r="K42" s="11">
        <v>31.490304999999999</v>
      </c>
      <c r="L42" s="11">
        <v>32.657131</v>
      </c>
      <c r="M42" s="11">
        <v>34.395054000000002</v>
      </c>
      <c r="N42" s="11">
        <v>35.448222999999999</v>
      </c>
      <c r="O42" s="11">
        <v>37.129565999999997</v>
      </c>
      <c r="P42" s="11">
        <v>38.955109</v>
      </c>
      <c r="Q42" s="11">
        <v>40.616768</v>
      </c>
      <c r="R42" s="11">
        <v>40.669575000000002</v>
      </c>
      <c r="S42" s="11">
        <v>40.753593000000002</v>
      </c>
      <c r="T42" s="11">
        <v>40.842635999999999</v>
      </c>
      <c r="U42" s="11">
        <v>40.926788000000002</v>
      </c>
      <c r="V42" s="11">
        <v>40.997684</v>
      </c>
      <c r="W42" s="11">
        <v>41.061371000000001</v>
      </c>
      <c r="X42" s="11">
        <v>41.118473000000002</v>
      </c>
      <c r="Y42" s="11">
        <v>41.159599</v>
      </c>
      <c r="Z42" s="11">
        <v>41.163615999999998</v>
      </c>
      <c r="AA42" s="11">
        <v>41.150042999999997</v>
      </c>
      <c r="AB42" s="11">
        <v>41.137943</v>
      </c>
      <c r="AC42" s="11">
        <v>41.125988</v>
      </c>
      <c r="AD42" s="11">
        <v>41.118031000000002</v>
      </c>
      <c r="AE42" s="11">
        <v>41.113303999999999</v>
      </c>
      <c r="AF42" s="11">
        <v>41.108874999999998</v>
      </c>
      <c r="AG42" s="90">
        <v>1.2999999999999999E-2</v>
      </c>
    </row>
    <row r="43" spans="1:33">
      <c r="A43" s="87" t="s">
        <v>195</v>
      </c>
      <c r="B43" s="11">
        <v>26.031406</v>
      </c>
      <c r="C43" s="11">
        <v>26.400922999999999</v>
      </c>
      <c r="D43" s="11">
        <v>26.566959000000001</v>
      </c>
      <c r="E43" s="11">
        <v>26.633030000000002</v>
      </c>
      <c r="F43" s="11">
        <v>26.954032999999999</v>
      </c>
      <c r="G43" s="11">
        <v>27.273304</v>
      </c>
      <c r="H43" s="11">
        <v>27.592838</v>
      </c>
      <c r="I43" s="11">
        <v>28.054355999999999</v>
      </c>
      <c r="J43" s="11">
        <v>28.789937999999999</v>
      </c>
      <c r="K43" s="11">
        <v>29.098731999999998</v>
      </c>
      <c r="L43" s="11">
        <v>30.163212000000001</v>
      </c>
      <c r="M43" s="11">
        <v>31.702663000000001</v>
      </c>
      <c r="N43" s="11">
        <v>32.727927999999999</v>
      </c>
      <c r="O43" s="11">
        <v>34.271178999999997</v>
      </c>
      <c r="P43" s="11">
        <v>35.969428999999998</v>
      </c>
      <c r="Q43" s="11">
        <v>37.549809000000003</v>
      </c>
      <c r="R43" s="11">
        <v>37.592342000000002</v>
      </c>
      <c r="S43" s="11">
        <v>37.663348999999997</v>
      </c>
      <c r="T43" s="11">
        <v>37.738616999999998</v>
      </c>
      <c r="U43" s="11">
        <v>37.812313000000003</v>
      </c>
      <c r="V43" s="11">
        <v>37.872543</v>
      </c>
      <c r="W43" s="11">
        <v>37.926228000000002</v>
      </c>
      <c r="X43" s="11">
        <v>37.974392000000002</v>
      </c>
      <c r="Y43" s="11">
        <v>38.007271000000003</v>
      </c>
      <c r="Z43" s="11">
        <v>38.006191000000001</v>
      </c>
      <c r="AA43" s="11">
        <v>37.991100000000003</v>
      </c>
      <c r="AB43" s="11">
        <v>37.978076999999999</v>
      </c>
      <c r="AC43" s="11">
        <v>37.965060999999999</v>
      </c>
      <c r="AD43" s="11">
        <v>37.956035999999997</v>
      </c>
      <c r="AE43" s="11">
        <v>37.948891000000003</v>
      </c>
      <c r="AF43" s="11">
        <v>37.94265</v>
      </c>
      <c r="AG43" s="90">
        <v>1.2999999999999999E-2</v>
      </c>
    </row>
    <row r="44" spans="1:33">
      <c r="A44" s="87" t="s">
        <v>196</v>
      </c>
      <c r="B44" s="11">
        <v>27.011863999999999</v>
      </c>
      <c r="C44" s="11">
        <v>27.499689</v>
      </c>
      <c r="D44" s="11">
        <v>27.704388000000002</v>
      </c>
      <c r="E44" s="11">
        <v>27.781654</v>
      </c>
      <c r="F44" s="11">
        <v>28.11825</v>
      </c>
      <c r="G44" s="11">
        <v>28.460844000000002</v>
      </c>
      <c r="H44" s="11">
        <v>28.793009000000001</v>
      </c>
      <c r="I44" s="11">
        <v>29.292159999999999</v>
      </c>
      <c r="J44" s="11">
        <v>30.075865</v>
      </c>
      <c r="K44" s="11">
        <v>30.401865000000001</v>
      </c>
      <c r="L44" s="11">
        <v>31.474347999999999</v>
      </c>
      <c r="M44" s="11">
        <v>33.298557000000002</v>
      </c>
      <c r="N44" s="11">
        <v>34.225700000000003</v>
      </c>
      <c r="O44" s="11">
        <v>36.076293999999997</v>
      </c>
      <c r="P44" s="11">
        <v>37.865153999999997</v>
      </c>
      <c r="Q44" s="11">
        <v>39.264831999999998</v>
      </c>
      <c r="R44" s="11">
        <v>39.314964000000003</v>
      </c>
      <c r="S44" s="11">
        <v>39.401848000000001</v>
      </c>
      <c r="T44" s="11">
        <v>39.503284000000001</v>
      </c>
      <c r="U44" s="11">
        <v>39.587581999999998</v>
      </c>
      <c r="V44" s="11">
        <v>39.665958000000003</v>
      </c>
      <c r="W44" s="11">
        <v>39.745716000000002</v>
      </c>
      <c r="X44" s="11">
        <v>39.821823000000002</v>
      </c>
      <c r="Y44" s="11">
        <v>39.880074</v>
      </c>
      <c r="Z44" s="11">
        <v>39.904181999999999</v>
      </c>
      <c r="AA44" s="11">
        <v>39.903004000000003</v>
      </c>
      <c r="AB44" s="11">
        <v>39.897540999999997</v>
      </c>
      <c r="AC44" s="11">
        <v>39.897269999999999</v>
      </c>
      <c r="AD44" s="11">
        <v>39.901271999999999</v>
      </c>
      <c r="AE44" s="11">
        <v>39.908386</v>
      </c>
      <c r="AF44" s="11">
        <v>39.916499999999999</v>
      </c>
      <c r="AG44" s="90">
        <v>1.2999999999999999E-2</v>
      </c>
    </row>
    <row r="45" spans="1:33">
      <c r="A45" s="87" t="s">
        <v>197</v>
      </c>
      <c r="B45" s="11">
        <v>25.958963000000001</v>
      </c>
      <c r="C45" s="11">
        <v>26.333157</v>
      </c>
      <c r="D45" s="11">
        <v>26.504456000000001</v>
      </c>
      <c r="E45" s="11">
        <v>26.576134</v>
      </c>
      <c r="F45" s="11">
        <v>26.913872000000001</v>
      </c>
      <c r="G45" s="11">
        <v>27.252369000000002</v>
      </c>
      <c r="H45" s="11">
        <v>27.581386999999999</v>
      </c>
      <c r="I45" s="11">
        <v>28.066459999999999</v>
      </c>
      <c r="J45" s="11">
        <v>28.841214999999998</v>
      </c>
      <c r="K45" s="11">
        <v>29.166575999999999</v>
      </c>
      <c r="L45" s="11">
        <v>30.261282000000001</v>
      </c>
      <c r="M45" s="11">
        <v>31.871428999999999</v>
      </c>
      <c r="N45" s="11">
        <v>32.862572</v>
      </c>
      <c r="O45" s="11">
        <v>34.4146</v>
      </c>
      <c r="P45" s="11">
        <v>36.111378000000002</v>
      </c>
      <c r="Q45" s="11">
        <v>37.667301000000002</v>
      </c>
      <c r="R45" s="11">
        <v>37.716366000000001</v>
      </c>
      <c r="S45" s="11">
        <v>37.793449000000003</v>
      </c>
      <c r="T45" s="11">
        <v>37.874465999999998</v>
      </c>
      <c r="U45" s="11">
        <v>37.951408000000001</v>
      </c>
      <c r="V45" s="11">
        <v>38.015976000000002</v>
      </c>
      <c r="W45" s="11">
        <v>38.073509000000001</v>
      </c>
      <c r="X45" s="11">
        <v>38.124668</v>
      </c>
      <c r="Y45" s="11">
        <v>38.161189999999998</v>
      </c>
      <c r="Z45" s="11">
        <v>38.163806999999998</v>
      </c>
      <c r="AA45" s="11">
        <v>38.150654000000003</v>
      </c>
      <c r="AB45" s="11">
        <v>38.139361999999998</v>
      </c>
      <c r="AC45" s="11">
        <v>38.128234999999997</v>
      </c>
      <c r="AD45" s="11">
        <v>38.120918000000003</v>
      </c>
      <c r="AE45" s="11">
        <v>38.116413000000001</v>
      </c>
      <c r="AF45" s="11">
        <v>38.112349999999999</v>
      </c>
      <c r="AG45" s="90">
        <v>1.2999999999999999E-2</v>
      </c>
    </row>
    <row r="46" spans="1:33">
      <c r="A46" s="87" t="s">
        <v>198</v>
      </c>
      <c r="B46" s="11">
        <v>0</v>
      </c>
      <c r="C46" s="11">
        <v>0</v>
      </c>
      <c r="D46" s="11">
        <v>0</v>
      </c>
      <c r="E46" s="11">
        <v>0</v>
      </c>
      <c r="F46" s="11">
        <v>0</v>
      </c>
      <c r="G46" s="11">
        <v>0</v>
      </c>
      <c r="H46" s="11">
        <v>0</v>
      </c>
      <c r="I46" s="11">
        <v>0</v>
      </c>
      <c r="J46" s="11">
        <v>0</v>
      </c>
      <c r="K46" s="11">
        <v>0</v>
      </c>
      <c r="L46" s="11">
        <v>0</v>
      </c>
      <c r="M46" s="11">
        <v>0</v>
      </c>
      <c r="N46" s="11">
        <v>0</v>
      </c>
      <c r="O46" s="11">
        <v>0</v>
      </c>
      <c r="P46" s="11">
        <v>0</v>
      </c>
      <c r="Q46" s="11">
        <v>0</v>
      </c>
      <c r="R46" s="11">
        <v>0</v>
      </c>
      <c r="S46" s="11">
        <v>0</v>
      </c>
      <c r="T46" s="11">
        <v>0</v>
      </c>
      <c r="U46" s="11">
        <v>0</v>
      </c>
      <c r="V46" s="11">
        <v>0</v>
      </c>
      <c r="W46" s="11">
        <v>0</v>
      </c>
      <c r="X46" s="11">
        <v>0</v>
      </c>
      <c r="Y46" s="11">
        <v>0</v>
      </c>
      <c r="Z46" s="11">
        <v>0</v>
      </c>
      <c r="AA46" s="11">
        <v>0</v>
      </c>
      <c r="AB46" s="11">
        <v>0</v>
      </c>
      <c r="AC46" s="11">
        <v>0</v>
      </c>
      <c r="AD46" s="11">
        <v>0</v>
      </c>
      <c r="AE46" s="11">
        <v>0</v>
      </c>
      <c r="AF46" s="11">
        <v>0</v>
      </c>
      <c r="AG46" s="11" t="s">
        <v>190</v>
      </c>
    </row>
    <row r="47" spans="1:33">
      <c r="A47" s="87" t="s">
        <v>199</v>
      </c>
      <c r="B47" s="11">
        <v>0</v>
      </c>
      <c r="C47" s="11">
        <v>0</v>
      </c>
      <c r="D47" s="11">
        <v>0</v>
      </c>
      <c r="E47" s="11">
        <v>0</v>
      </c>
      <c r="F47" s="11">
        <v>0</v>
      </c>
      <c r="G47" s="11">
        <v>0</v>
      </c>
      <c r="H47" s="11">
        <v>0</v>
      </c>
      <c r="I47" s="11">
        <v>0</v>
      </c>
      <c r="J47" s="11">
        <v>0</v>
      </c>
      <c r="K47" s="11">
        <v>0</v>
      </c>
      <c r="L47" s="11">
        <v>0</v>
      </c>
      <c r="M47" s="11">
        <v>0</v>
      </c>
      <c r="N47" s="11">
        <v>0</v>
      </c>
      <c r="O47" s="11">
        <v>0</v>
      </c>
      <c r="P47" s="11">
        <v>0</v>
      </c>
      <c r="Q47" s="11">
        <v>0</v>
      </c>
      <c r="R47" s="11">
        <v>0</v>
      </c>
      <c r="S47" s="11">
        <v>0</v>
      </c>
      <c r="T47" s="11">
        <v>0</v>
      </c>
      <c r="U47" s="11">
        <v>0</v>
      </c>
      <c r="V47" s="11">
        <v>0</v>
      </c>
      <c r="W47" s="11">
        <v>0</v>
      </c>
      <c r="X47" s="11">
        <v>0</v>
      </c>
      <c r="Y47" s="11">
        <v>0</v>
      </c>
      <c r="Z47" s="11">
        <v>0</v>
      </c>
      <c r="AA47" s="11">
        <v>0</v>
      </c>
      <c r="AB47" s="11">
        <v>0</v>
      </c>
      <c r="AC47" s="11">
        <v>0</v>
      </c>
      <c r="AD47" s="11">
        <v>0</v>
      </c>
      <c r="AE47" s="11">
        <v>0</v>
      </c>
      <c r="AF47" s="11">
        <v>0</v>
      </c>
      <c r="AG47" s="11" t="s">
        <v>190</v>
      </c>
    </row>
    <row r="48" spans="1:33">
      <c r="A48" s="87" t="s">
        <v>200</v>
      </c>
      <c r="B48" s="11">
        <v>0</v>
      </c>
      <c r="C48" s="11">
        <v>0</v>
      </c>
      <c r="D48" s="11">
        <v>0</v>
      </c>
      <c r="E48" s="11">
        <v>0</v>
      </c>
      <c r="F48" s="11">
        <v>39.674652000000002</v>
      </c>
      <c r="G48" s="11">
        <v>44.465800999999999</v>
      </c>
      <c r="H48" s="11">
        <v>44.793681999999997</v>
      </c>
      <c r="I48" s="11">
        <v>44.929962000000003</v>
      </c>
      <c r="J48" s="11">
        <v>45.351246000000003</v>
      </c>
      <c r="K48" s="11">
        <v>45.565826000000001</v>
      </c>
      <c r="L48" s="11">
        <v>46.456287000000003</v>
      </c>
      <c r="M48" s="11">
        <v>47.499091999999997</v>
      </c>
      <c r="N48" s="11">
        <v>48.686084999999999</v>
      </c>
      <c r="O48" s="11">
        <v>49.63673</v>
      </c>
      <c r="P48" s="11">
        <v>50.630783000000001</v>
      </c>
      <c r="Q48" s="11">
        <v>50.797440000000002</v>
      </c>
      <c r="R48" s="11">
        <v>50.714703</v>
      </c>
      <c r="S48" s="11">
        <v>50.644432000000002</v>
      </c>
      <c r="T48" s="11">
        <v>50.597220999999998</v>
      </c>
      <c r="U48" s="11">
        <v>50.562930999999999</v>
      </c>
      <c r="V48" s="11">
        <v>50.530360999999999</v>
      </c>
      <c r="W48" s="11">
        <v>50.497311000000003</v>
      </c>
      <c r="X48" s="11">
        <v>50.465491999999998</v>
      </c>
      <c r="Y48" s="11">
        <v>50.433712</v>
      </c>
      <c r="Z48" s="11">
        <v>50.405144</v>
      </c>
      <c r="AA48" s="11">
        <v>50.364165999999997</v>
      </c>
      <c r="AB48" s="11">
        <v>50.29063</v>
      </c>
      <c r="AC48" s="11">
        <v>50.208595000000003</v>
      </c>
      <c r="AD48" s="11">
        <v>50.124096000000002</v>
      </c>
      <c r="AE48" s="11">
        <v>50.037562999999999</v>
      </c>
      <c r="AF48" s="11">
        <v>49.950271999999998</v>
      </c>
      <c r="AG48" s="11" t="s">
        <v>190</v>
      </c>
    </row>
    <row r="49" spans="1:33">
      <c r="A49" s="87"/>
    </row>
    <row r="50" spans="1:33">
      <c r="A50" s="89" t="s">
        <v>205</v>
      </c>
      <c r="B50" s="91">
        <v>28.077483999999998</v>
      </c>
      <c r="C50" s="91">
        <v>28.493435000000002</v>
      </c>
      <c r="D50" s="91">
        <v>28.718876000000002</v>
      </c>
      <c r="E50" s="91">
        <v>28.803314</v>
      </c>
      <c r="F50" s="91">
        <v>29.224882000000001</v>
      </c>
      <c r="G50" s="91">
        <v>29.460647999999999</v>
      </c>
      <c r="H50" s="91">
        <v>29.693322999999999</v>
      </c>
      <c r="I50" s="91">
        <v>30.066837</v>
      </c>
      <c r="J50" s="91">
        <v>30.731241000000001</v>
      </c>
      <c r="K50" s="91">
        <v>30.940982999999999</v>
      </c>
      <c r="L50" s="91">
        <v>32.042645</v>
      </c>
      <c r="M50" s="91">
        <v>33.770325</v>
      </c>
      <c r="N50" s="91">
        <v>34.941006000000002</v>
      </c>
      <c r="O50" s="91">
        <v>36.475876</v>
      </c>
      <c r="P50" s="91">
        <v>38.269379000000001</v>
      </c>
      <c r="Q50" s="91">
        <v>40.012276</v>
      </c>
      <c r="R50" s="91">
        <v>40.053375000000003</v>
      </c>
      <c r="S50" s="91">
        <v>40.124668</v>
      </c>
      <c r="T50" s="91">
        <v>40.201175999999997</v>
      </c>
      <c r="U50" s="91">
        <v>40.274441000000003</v>
      </c>
      <c r="V50" s="91">
        <v>40.336750000000002</v>
      </c>
      <c r="W50" s="91">
        <v>40.383338999999999</v>
      </c>
      <c r="X50" s="91">
        <v>40.421078000000001</v>
      </c>
      <c r="Y50" s="91">
        <v>40.449916999999999</v>
      </c>
      <c r="Z50" s="91">
        <v>40.452385</v>
      </c>
      <c r="AA50" s="91">
        <v>40.444958</v>
      </c>
      <c r="AB50" s="91">
        <v>40.441710999999998</v>
      </c>
      <c r="AC50" s="91">
        <v>40.438037999999999</v>
      </c>
      <c r="AD50" s="91">
        <v>40.438557000000003</v>
      </c>
      <c r="AE50" s="91">
        <v>40.442608</v>
      </c>
      <c r="AF50" s="91">
        <v>40.451084000000002</v>
      </c>
      <c r="AG50" s="92">
        <v>1.2E-2</v>
      </c>
    </row>
    <row r="51" spans="1:33">
      <c r="A51" s="87"/>
    </row>
    <row r="52" spans="1:33">
      <c r="A52" s="89" t="s">
        <v>206</v>
      </c>
      <c r="B52" s="91">
        <v>31.780709999999999</v>
      </c>
      <c r="C52" s="91">
        <v>32.634953000000003</v>
      </c>
      <c r="D52" s="91">
        <v>32.520546000000003</v>
      </c>
      <c r="E52" s="91">
        <v>32.604858</v>
      </c>
      <c r="F52" s="91">
        <v>33.114426000000002</v>
      </c>
      <c r="G52" s="91">
        <v>33.38805</v>
      </c>
      <c r="H52" s="91">
        <v>33.849606000000001</v>
      </c>
      <c r="I52" s="91">
        <v>34.717731000000001</v>
      </c>
      <c r="J52" s="91">
        <v>35.496161999999998</v>
      </c>
      <c r="K52" s="91">
        <v>36.398018</v>
      </c>
      <c r="L52" s="91">
        <v>37.929546000000002</v>
      </c>
      <c r="M52" s="91">
        <v>39.837497999999997</v>
      </c>
      <c r="N52" s="91">
        <v>41.534945999999998</v>
      </c>
      <c r="O52" s="91">
        <v>43.565254000000003</v>
      </c>
      <c r="P52" s="91">
        <v>45.205826000000002</v>
      </c>
      <c r="Q52" s="91">
        <v>47.349487000000003</v>
      </c>
      <c r="R52" s="91">
        <v>47.527667999999998</v>
      </c>
      <c r="S52" s="91">
        <v>47.681601999999998</v>
      </c>
      <c r="T52" s="91">
        <v>47.863655000000001</v>
      </c>
      <c r="U52" s="91">
        <v>48.023758000000001</v>
      </c>
      <c r="V52" s="91">
        <v>48.163071000000002</v>
      </c>
      <c r="W52" s="91">
        <v>48.289520000000003</v>
      </c>
      <c r="X52" s="91">
        <v>48.386161999999999</v>
      </c>
      <c r="Y52" s="91">
        <v>48.499760000000002</v>
      </c>
      <c r="Z52" s="91">
        <v>48.583202</v>
      </c>
      <c r="AA52" s="91">
        <v>48.644736999999999</v>
      </c>
      <c r="AB52" s="91">
        <v>48.722244000000003</v>
      </c>
      <c r="AC52" s="91">
        <v>48.795108999999997</v>
      </c>
      <c r="AD52" s="91">
        <v>48.872127999999996</v>
      </c>
      <c r="AE52" s="91">
        <v>48.953113999999999</v>
      </c>
      <c r="AF52" s="91">
        <v>49.042377000000002</v>
      </c>
      <c r="AG52" s="92">
        <v>1.4E-2</v>
      </c>
    </row>
    <row r="53" spans="1:33">
      <c r="A53" s="87"/>
    </row>
    <row r="54" spans="1:33">
      <c r="A54" s="87" t="s">
        <v>207</v>
      </c>
      <c r="B54" s="11">
        <v>24.036289</v>
      </c>
      <c r="C54" s="11">
        <v>23.590111</v>
      </c>
      <c r="D54" s="11">
        <v>23.956522</v>
      </c>
      <c r="E54" s="11">
        <v>24.330383000000001</v>
      </c>
      <c r="F54" s="11">
        <v>24.732991999999999</v>
      </c>
      <c r="G54" s="11">
        <v>25.147780999999998</v>
      </c>
      <c r="H54" s="11">
        <v>25.577936000000001</v>
      </c>
      <c r="I54" s="11">
        <v>26.059448</v>
      </c>
      <c r="J54" s="11">
        <v>26.540979</v>
      </c>
      <c r="K54" s="11">
        <v>27.084268999999999</v>
      </c>
      <c r="L54" s="11">
        <v>27.687242999999999</v>
      </c>
      <c r="M54" s="11">
        <v>28.387530999999999</v>
      </c>
      <c r="N54" s="11">
        <v>29.152163999999999</v>
      </c>
      <c r="O54" s="11">
        <v>29.990666999999998</v>
      </c>
      <c r="P54" s="11">
        <v>30.862568</v>
      </c>
      <c r="Q54" s="11">
        <v>31.800084999999999</v>
      </c>
      <c r="R54" s="11">
        <v>32.730885000000001</v>
      </c>
      <c r="S54" s="11">
        <v>33.642623999999998</v>
      </c>
      <c r="T54" s="11">
        <v>34.525641999999998</v>
      </c>
      <c r="U54" s="11">
        <v>35.373745</v>
      </c>
      <c r="V54" s="11">
        <v>36.187252000000001</v>
      </c>
      <c r="W54" s="11">
        <v>36.950310000000002</v>
      </c>
      <c r="X54" s="11">
        <v>37.665061999999999</v>
      </c>
      <c r="Y54" s="11">
        <v>38.317718999999997</v>
      </c>
      <c r="Z54" s="11">
        <v>38.913254000000002</v>
      </c>
      <c r="AA54" s="11">
        <v>39.464191</v>
      </c>
      <c r="AB54" s="11">
        <v>39.949717999999997</v>
      </c>
      <c r="AC54" s="11">
        <v>40.391277000000002</v>
      </c>
      <c r="AD54" s="11">
        <v>40.787571</v>
      </c>
      <c r="AE54" s="11">
        <v>41.140712999999998</v>
      </c>
      <c r="AF54" s="11">
        <v>41.454284999999999</v>
      </c>
      <c r="AG54" s="90">
        <v>0.02</v>
      </c>
    </row>
    <row r="55" spans="1:33" ht="30">
      <c r="A55" s="87" t="s">
        <v>208</v>
      </c>
      <c r="B55" s="11">
        <v>17.812716000000002</v>
      </c>
      <c r="C55" s="11">
        <v>17.522884000000001</v>
      </c>
      <c r="D55" s="11">
        <v>17.831585</v>
      </c>
      <c r="E55" s="11">
        <v>18.14959</v>
      </c>
      <c r="F55" s="11">
        <v>18.485372999999999</v>
      </c>
      <c r="G55" s="11">
        <v>18.834876999999999</v>
      </c>
      <c r="H55" s="11">
        <v>19.184325999999999</v>
      </c>
      <c r="I55" s="11">
        <v>19.541482999999999</v>
      </c>
      <c r="J55" s="11">
        <v>19.906889</v>
      </c>
      <c r="K55" s="11">
        <v>20.269983</v>
      </c>
      <c r="L55" s="11">
        <v>20.661133</v>
      </c>
      <c r="M55" s="11">
        <v>21.139961</v>
      </c>
      <c r="N55" s="11">
        <v>21.646723000000001</v>
      </c>
      <c r="O55" s="11">
        <v>22.198046000000001</v>
      </c>
      <c r="P55" s="11">
        <v>22.804537</v>
      </c>
      <c r="Q55" s="11">
        <v>23.461102</v>
      </c>
      <c r="R55" s="11">
        <v>24.106839999999998</v>
      </c>
      <c r="S55" s="11">
        <v>24.728285</v>
      </c>
      <c r="T55" s="11">
        <v>25.324891999999998</v>
      </c>
      <c r="U55" s="11">
        <v>25.892230999999999</v>
      </c>
      <c r="V55" s="11">
        <v>26.430921999999999</v>
      </c>
      <c r="W55" s="11">
        <v>26.936602000000001</v>
      </c>
      <c r="X55" s="11">
        <v>27.407374999999998</v>
      </c>
      <c r="Y55" s="11">
        <v>27.842459000000002</v>
      </c>
      <c r="Z55" s="11">
        <v>28.241285000000001</v>
      </c>
      <c r="AA55" s="11">
        <v>28.604610000000001</v>
      </c>
      <c r="AB55" s="11">
        <v>28.932320000000001</v>
      </c>
      <c r="AC55" s="11">
        <v>29.226126000000001</v>
      </c>
      <c r="AD55" s="11">
        <v>29.487278</v>
      </c>
      <c r="AE55" s="11">
        <v>29.716971999999998</v>
      </c>
      <c r="AF55" s="11">
        <v>29.917627</v>
      </c>
      <c r="AG55" s="90">
        <v>1.9E-2</v>
      </c>
    </row>
    <row r="56" spans="1:33">
      <c r="A56" s="87"/>
    </row>
    <row r="57" spans="1:33" s="96" customFormat="1" ht="30">
      <c r="A57" s="93" t="s">
        <v>209</v>
      </c>
      <c r="B57" s="94">
        <v>20.945571999999999</v>
      </c>
      <c r="C57" s="94">
        <v>20.562930999999999</v>
      </c>
      <c r="D57" s="94">
        <v>20.887695000000001</v>
      </c>
      <c r="E57" s="94">
        <v>21.218078999999999</v>
      </c>
      <c r="F57" s="94">
        <v>21.571434</v>
      </c>
      <c r="G57" s="94">
        <v>21.939333000000001</v>
      </c>
      <c r="H57" s="94">
        <v>22.317018999999998</v>
      </c>
      <c r="I57" s="94">
        <v>22.724972000000001</v>
      </c>
      <c r="J57" s="94">
        <v>23.141386000000001</v>
      </c>
      <c r="K57" s="94">
        <v>23.588305999999999</v>
      </c>
      <c r="L57" s="94">
        <v>24.082304000000001</v>
      </c>
      <c r="M57" s="94">
        <v>24.672367000000001</v>
      </c>
      <c r="N57" s="94">
        <v>25.309034</v>
      </c>
      <c r="O57" s="94">
        <v>26.006105000000002</v>
      </c>
      <c r="P57" s="94">
        <v>26.752558000000001</v>
      </c>
      <c r="Q57" s="94">
        <v>27.559494000000001</v>
      </c>
      <c r="R57" s="94">
        <v>28.357617999999999</v>
      </c>
      <c r="S57" s="94">
        <v>29.138211999999999</v>
      </c>
      <c r="T57" s="94">
        <v>29.896591000000001</v>
      </c>
      <c r="U57" s="94">
        <v>30.626761999999999</v>
      </c>
      <c r="V57" s="94">
        <v>31.328613000000001</v>
      </c>
      <c r="W57" s="94">
        <v>31.992211999999999</v>
      </c>
      <c r="X57" s="94">
        <v>32.616936000000003</v>
      </c>
      <c r="Y57" s="94">
        <v>33.196460999999999</v>
      </c>
      <c r="Z57" s="94">
        <v>33.731991000000001</v>
      </c>
      <c r="AA57" s="94">
        <v>34.229022999999998</v>
      </c>
      <c r="AB57" s="94">
        <v>34.677810999999998</v>
      </c>
      <c r="AC57" s="94">
        <v>35.088593000000003</v>
      </c>
      <c r="AD57" s="94">
        <v>35.461185</v>
      </c>
      <c r="AE57" s="94">
        <v>35.797027999999997</v>
      </c>
      <c r="AF57" s="94">
        <v>36.098861999999997</v>
      </c>
      <c r="AG57" s="95">
        <v>0.02</v>
      </c>
    </row>
    <row r="58" spans="1:33">
      <c r="A58" s="87"/>
    </row>
    <row r="59" spans="1:33" s="97" customFormat="1" ht="15" customHeight="1">
      <c r="A59" s="157" t="s">
        <v>210</v>
      </c>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row>
    <row r="60" spans="1:33" ht="15" customHeight="1">
      <c r="A60" s="154" t="s">
        <v>211</v>
      </c>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row>
    <row r="61" spans="1:33" ht="15" customHeight="1">
      <c r="A61" s="154" t="s">
        <v>212</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row>
    <row r="62" spans="1:33" ht="15" customHeight="1">
      <c r="A62" s="154" t="s">
        <v>213</v>
      </c>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row>
    <row r="63" spans="1:33" ht="15" customHeight="1">
      <c r="A63" s="154" t="s">
        <v>214</v>
      </c>
      <c r="B63" s="154"/>
      <c r="C63" s="154"/>
      <c r="D63" s="154"/>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row>
    <row r="64" spans="1:33" ht="15" customHeight="1">
      <c r="A64" s="154" t="s">
        <v>215</v>
      </c>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row>
    <row r="65" spans="1:33" ht="15" customHeight="1">
      <c r="A65" s="154" t="s">
        <v>216</v>
      </c>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row>
    <row r="66" spans="1:33" ht="15" customHeight="1">
      <c r="A66" s="154" t="s">
        <v>217</v>
      </c>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row>
    <row r="67" spans="1:33" ht="15" customHeight="1">
      <c r="A67" s="154" t="s">
        <v>218</v>
      </c>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row>
  </sheetData>
  <mergeCells count="12">
    <mergeCell ref="A67:AG67"/>
    <mergeCell ref="A1:AG1"/>
    <mergeCell ref="A2:AG2"/>
    <mergeCell ref="A3:AG3"/>
    <mergeCell ref="A59:AG59"/>
    <mergeCell ref="A60:AG60"/>
    <mergeCell ref="A61:AG61"/>
    <mergeCell ref="A62:AG62"/>
    <mergeCell ref="A63:AG63"/>
    <mergeCell ref="A64:AG64"/>
    <mergeCell ref="A65:AG65"/>
    <mergeCell ref="A66:AG6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E95"/>
  <sheetViews>
    <sheetView workbookViewId="0">
      <pane ySplit="46" topLeftCell="A77" activePane="bottomLeft" state="frozen"/>
      <selection activeCell="A40" sqref="A40"/>
      <selection pane="bottomLeft" activeCell="A47" sqref="A47"/>
    </sheetView>
  </sheetViews>
  <sheetFormatPr defaultRowHeight="15"/>
  <cols>
    <col min="1" max="3" width="16.42578125" customWidth="1"/>
    <col min="4" max="4" width="15.7109375" customWidth="1"/>
    <col min="5" max="5" width="16.5703125" customWidth="1"/>
    <col min="6" max="6" width="16" customWidth="1"/>
    <col min="7" max="7" width="16.7109375" customWidth="1"/>
    <col min="8" max="30" width="16.28515625" customWidth="1"/>
    <col min="31" max="31" width="19.28515625" customWidth="1"/>
  </cols>
  <sheetData>
    <row r="1" spans="1:7" s="1" customFormat="1" hidden="1">
      <c r="A1" s="1" t="s">
        <v>32</v>
      </c>
    </row>
    <row r="2" spans="1:7" s="1" customFormat="1" hidden="1">
      <c r="A2" s="1" t="s">
        <v>33</v>
      </c>
    </row>
    <row r="3" spans="1:7" hidden="1"/>
    <row r="4" spans="1:7" ht="33.75" hidden="1" customHeight="1">
      <c r="B4" s="12" t="s">
        <v>26</v>
      </c>
      <c r="C4" s="12" t="s">
        <v>27</v>
      </c>
      <c r="D4" s="12" t="s">
        <v>31</v>
      </c>
      <c r="E4" s="12" t="s">
        <v>71</v>
      </c>
      <c r="F4" s="12" t="s">
        <v>74</v>
      </c>
      <c r="G4" s="12" t="s">
        <v>75</v>
      </c>
    </row>
    <row r="5" spans="1:7" ht="50.25" hidden="1" customHeight="1">
      <c r="B5" s="12" t="s">
        <v>76</v>
      </c>
      <c r="C5" s="12" t="s">
        <v>76</v>
      </c>
      <c r="D5" s="12" t="s">
        <v>77</v>
      </c>
      <c r="E5" s="12" t="s">
        <v>76</v>
      </c>
      <c r="F5" s="12" t="s">
        <v>78</v>
      </c>
      <c r="G5" s="12" t="s">
        <v>78</v>
      </c>
    </row>
    <row r="6" spans="1:7" ht="19.5" hidden="1" customHeight="1">
      <c r="D6" s="18">
        <v>0.2661</v>
      </c>
    </row>
    <row r="7" spans="1:7" hidden="1">
      <c r="A7" s="19" t="s">
        <v>72</v>
      </c>
      <c r="B7" s="20">
        <v>14279998</v>
      </c>
      <c r="C7" s="20">
        <v>6245525</v>
      </c>
      <c r="D7" s="20">
        <v>0</v>
      </c>
      <c r="E7" s="20">
        <v>8395828</v>
      </c>
      <c r="F7" s="20">
        <v>29500234</v>
      </c>
      <c r="G7" s="20">
        <v>22753819</v>
      </c>
    </row>
    <row r="8" spans="1:7" hidden="1">
      <c r="A8" t="s">
        <v>34</v>
      </c>
      <c r="B8" s="21"/>
      <c r="C8" s="21"/>
      <c r="D8" s="21">
        <v>365628.85080000001</v>
      </c>
      <c r="E8" s="21"/>
      <c r="F8" s="21">
        <v>540794</v>
      </c>
      <c r="G8" s="21">
        <v>390405</v>
      </c>
    </row>
    <row r="9" spans="1:7" hidden="1">
      <c r="A9" t="s">
        <v>35</v>
      </c>
      <c r="B9" s="21"/>
      <c r="C9" s="21"/>
      <c r="D9" s="21">
        <v>218911.6887</v>
      </c>
      <c r="E9" s="21"/>
      <c r="F9" s="21">
        <v>291784</v>
      </c>
      <c r="G9" s="21">
        <v>210642</v>
      </c>
    </row>
    <row r="10" spans="1:7" hidden="1">
      <c r="A10" t="s">
        <v>36</v>
      </c>
      <c r="B10" s="21"/>
      <c r="C10" s="21"/>
      <c r="D10" s="21">
        <v>879313.08059999999</v>
      </c>
      <c r="E10" s="21"/>
      <c r="F10" s="21">
        <v>1237746</v>
      </c>
      <c r="G10" s="21">
        <v>893543</v>
      </c>
    </row>
    <row r="11" spans="1:7" hidden="1">
      <c r="A11" t="s">
        <v>37</v>
      </c>
      <c r="B11" s="21"/>
      <c r="C11" s="21"/>
      <c r="D11" s="21">
        <v>175702.90290000002</v>
      </c>
      <c r="E11" s="21"/>
      <c r="F11" s="21">
        <v>302946</v>
      </c>
      <c r="G11" s="21">
        <v>218700</v>
      </c>
    </row>
    <row r="12" spans="1:7" hidden="1">
      <c r="A12" t="s">
        <v>38</v>
      </c>
      <c r="B12" s="21"/>
      <c r="C12" s="21"/>
      <c r="D12" s="21">
        <v>609090.12719999999</v>
      </c>
      <c r="E12" s="21"/>
      <c r="F12" s="21">
        <v>940268</v>
      </c>
      <c r="G12" s="21">
        <v>678790</v>
      </c>
    </row>
    <row r="13" spans="1:7" hidden="1">
      <c r="A13" t="s">
        <v>39</v>
      </c>
      <c r="B13" s="21"/>
      <c r="C13" s="21"/>
      <c r="D13" s="21">
        <v>511168.52039999998</v>
      </c>
      <c r="E13" s="21"/>
      <c r="F13" s="21">
        <v>766774</v>
      </c>
      <c r="G13" s="21">
        <v>553542</v>
      </c>
    </row>
    <row r="14" spans="1:7" hidden="1">
      <c r="A14" t="s">
        <v>40</v>
      </c>
      <c r="B14" s="21"/>
      <c r="C14" s="21"/>
      <c r="D14" s="21">
        <v>1197029.2959</v>
      </c>
      <c r="E14" s="21"/>
      <c r="F14" s="21">
        <v>1691823</v>
      </c>
      <c r="G14" s="21">
        <v>1221346</v>
      </c>
    </row>
    <row r="15" spans="1:7" hidden="1">
      <c r="A15" t="s">
        <v>41</v>
      </c>
      <c r="B15" s="21"/>
      <c r="C15" s="21"/>
      <c r="D15" s="21">
        <v>266461.09769999998</v>
      </c>
      <c r="E15" s="21"/>
      <c r="F15" s="21">
        <v>379339</v>
      </c>
      <c r="G15" s="21">
        <v>273849</v>
      </c>
    </row>
    <row r="16" spans="1:7" hidden="1">
      <c r="A16" t="s">
        <v>42</v>
      </c>
      <c r="B16" s="21"/>
      <c r="C16" s="21"/>
      <c r="D16" s="21">
        <v>9597.1625999999997</v>
      </c>
      <c r="E16" s="21"/>
      <c r="F16" s="21">
        <v>19165</v>
      </c>
      <c r="G16" s="21">
        <v>13835</v>
      </c>
    </row>
    <row r="17" spans="1:7" hidden="1">
      <c r="A17" t="s">
        <v>43</v>
      </c>
      <c r="B17" s="21"/>
      <c r="C17" s="21"/>
      <c r="D17" s="21">
        <v>1087762.2494999999</v>
      </c>
      <c r="E17" s="21"/>
      <c r="F17" s="21">
        <v>1438817</v>
      </c>
      <c r="G17" s="21">
        <v>1038698</v>
      </c>
    </row>
    <row r="18" spans="1:7" hidden="1">
      <c r="A18" t="s">
        <v>44</v>
      </c>
      <c r="B18" s="21"/>
      <c r="C18" s="21"/>
      <c r="D18" s="21">
        <v>31575.958200000001</v>
      </c>
      <c r="E18" s="21"/>
      <c r="F18" s="21">
        <v>61900</v>
      </c>
      <c r="G18" s="21">
        <v>44686</v>
      </c>
    </row>
    <row r="19" spans="1:7" hidden="1">
      <c r="A19" t="s">
        <v>45</v>
      </c>
      <c r="B19" s="21"/>
      <c r="C19" s="21"/>
      <c r="D19" s="21">
        <v>299681.5539</v>
      </c>
      <c r="E19" s="21"/>
      <c r="F19" s="21">
        <v>333139</v>
      </c>
      <c r="G19" s="21">
        <v>240497</v>
      </c>
    </row>
    <row r="20" spans="1:7" hidden="1">
      <c r="A20" t="s">
        <v>46</v>
      </c>
      <c r="B20" s="21"/>
      <c r="C20" s="21"/>
      <c r="D20" s="21">
        <v>560236.82819999999</v>
      </c>
      <c r="E20" s="21"/>
      <c r="F20" s="21">
        <v>683665</v>
      </c>
      <c r="G20" s="21">
        <v>493545</v>
      </c>
    </row>
    <row r="21" spans="1:7" hidden="1">
      <c r="A21" t="s">
        <v>47</v>
      </c>
      <c r="B21" s="21"/>
      <c r="C21" s="21"/>
      <c r="D21" s="21">
        <v>924.69749999999999</v>
      </c>
      <c r="E21" s="21"/>
      <c r="F21" s="21">
        <v>246</v>
      </c>
      <c r="G21" s="21">
        <v>177</v>
      </c>
    </row>
    <row r="22" spans="1:7" hidden="1">
      <c r="A22" t="s">
        <v>48</v>
      </c>
      <c r="B22" s="21"/>
      <c r="C22" s="21"/>
      <c r="D22" s="21">
        <v>71863.232099999994</v>
      </c>
      <c r="E22" s="21"/>
      <c r="F22" s="21">
        <v>105728</v>
      </c>
      <c r="G22" s="21">
        <v>76326</v>
      </c>
    </row>
    <row r="23" spans="1:7" hidden="1">
      <c r="A23" t="s">
        <v>49</v>
      </c>
      <c r="B23" s="21"/>
      <c r="C23" s="21"/>
      <c r="D23" s="21">
        <v>456760.65</v>
      </c>
      <c r="E23" s="21"/>
      <c r="F23" s="21">
        <v>544626</v>
      </c>
      <c r="G23" s="21">
        <v>393172</v>
      </c>
    </row>
    <row r="24" spans="1:7" hidden="1">
      <c r="A24" t="s">
        <v>50</v>
      </c>
      <c r="B24" s="21"/>
      <c r="C24" s="21"/>
      <c r="D24" s="21">
        <v>727610.80110000004</v>
      </c>
      <c r="E24" s="21"/>
      <c r="F24" s="21">
        <v>1247405</v>
      </c>
      <c r="G24" s="21">
        <v>900516</v>
      </c>
    </row>
    <row r="25" spans="1:7" hidden="1">
      <c r="A25" t="s">
        <v>51</v>
      </c>
      <c r="B25" s="21"/>
      <c r="C25" s="21"/>
      <c r="D25" s="21">
        <v>353687.08110000001</v>
      </c>
      <c r="E25" s="21"/>
      <c r="F25" s="21">
        <v>419304</v>
      </c>
      <c r="G25" s="21">
        <v>302700</v>
      </c>
    </row>
    <row r="26" spans="1:7" hidden="1">
      <c r="A26" t="s">
        <v>52</v>
      </c>
      <c r="B26" s="21"/>
      <c r="C26" s="21"/>
      <c r="D26" s="21">
        <v>287572.14120000001</v>
      </c>
      <c r="E26" s="21"/>
      <c r="F26" s="21">
        <v>422779</v>
      </c>
      <c r="G26" s="21">
        <v>305209</v>
      </c>
    </row>
    <row r="27" spans="1:7" hidden="1">
      <c r="A27" t="s">
        <v>53</v>
      </c>
      <c r="B27" s="21"/>
      <c r="C27" s="21"/>
      <c r="D27" s="21">
        <v>123836.0214</v>
      </c>
      <c r="E27" s="21"/>
      <c r="F27" s="21">
        <v>244920</v>
      </c>
      <c r="G27" s="21">
        <v>176811</v>
      </c>
    </row>
    <row r="28" spans="1:7" hidden="1">
      <c r="A28" t="s">
        <v>54</v>
      </c>
      <c r="B28" s="21"/>
      <c r="C28" s="21"/>
      <c r="D28" s="21">
        <v>41816.550600000002</v>
      </c>
      <c r="E28" s="21"/>
      <c r="F28" s="21">
        <v>62370</v>
      </c>
      <c r="G28" s="21">
        <v>45025</v>
      </c>
    </row>
    <row r="29" spans="1:7" hidden="1">
      <c r="A29" t="s">
        <v>55</v>
      </c>
      <c r="B29" s="21"/>
      <c r="C29" s="21"/>
      <c r="D29" s="21">
        <v>1061353.155</v>
      </c>
      <c r="E29" s="21"/>
      <c r="F29" s="21">
        <v>1581730</v>
      </c>
      <c r="G29" s="21">
        <v>1141869</v>
      </c>
    </row>
    <row r="30" spans="1:7" hidden="1">
      <c r="A30" t="s">
        <v>56</v>
      </c>
      <c r="B30" s="21"/>
      <c r="C30" s="21"/>
      <c r="D30" s="21">
        <v>612330.16079999995</v>
      </c>
      <c r="E30" s="21"/>
      <c r="F30" s="21">
        <v>868342</v>
      </c>
      <c r="G30" s="21">
        <v>626866</v>
      </c>
    </row>
    <row r="31" spans="1:7" hidden="1">
      <c r="A31" t="s">
        <v>57</v>
      </c>
      <c r="B31" s="21"/>
      <c r="C31" s="21"/>
      <c r="D31" s="21">
        <v>662590.33050000004</v>
      </c>
      <c r="E31" s="21"/>
      <c r="F31" s="21">
        <v>1020535</v>
      </c>
      <c r="G31" s="21">
        <v>736736</v>
      </c>
    </row>
    <row r="32" spans="1:7" hidden="1">
      <c r="A32" t="s">
        <v>58</v>
      </c>
      <c r="B32" s="21"/>
      <c r="C32" s="21"/>
      <c r="D32" s="21">
        <v>16744.076400000002</v>
      </c>
      <c r="E32" s="21"/>
      <c r="F32" s="21">
        <v>6848</v>
      </c>
      <c r="G32" s="21">
        <v>4944</v>
      </c>
    </row>
    <row r="33" spans="1:31" hidden="1">
      <c r="A33" t="s">
        <v>59</v>
      </c>
      <c r="B33" s="21"/>
      <c r="C33" s="21"/>
      <c r="D33" s="21">
        <v>41396.910900000003</v>
      </c>
      <c r="E33" s="21"/>
      <c r="F33" s="21">
        <v>75075</v>
      </c>
      <c r="G33" s="21">
        <v>54197</v>
      </c>
    </row>
    <row r="34" spans="1:31" hidden="1">
      <c r="A34" t="s">
        <v>60</v>
      </c>
      <c r="B34" s="21"/>
      <c r="C34" s="21"/>
      <c r="D34" s="21">
        <v>637549.52220000001</v>
      </c>
      <c r="E34" s="21"/>
      <c r="F34" s="21">
        <v>863068</v>
      </c>
      <c r="G34" s="21">
        <v>623058</v>
      </c>
    </row>
    <row r="35" spans="1:31" hidden="1">
      <c r="A35" t="s">
        <v>61</v>
      </c>
      <c r="B35" s="21"/>
      <c r="C35" s="21"/>
      <c r="D35" s="21">
        <v>470021.74349999998</v>
      </c>
      <c r="E35" s="21"/>
      <c r="F35" s="21">
        <v>617636</v>
      </c>
      <c r="G35" s="21">
        <v>445878</v>
      </c>
    </row>
    <row r="36" spans="1:31" hidden="1">
      <c r="A36" t="s">
        <v>62</v>
      </c>
      <c r="B36" s="21"/>
      <c r="C36" s="21"/>
      <c r="D36" s="21">
        <v>123427.82400000001</v>
      </c>
      <c r="E36" s="21"/>
      <c r="F36" s="21">
        <v>144691</v>
      </c>
      <c r="G36" s="21">
        <v>104454</v>
      </c>
    </row>
    <row r="37" spans="1:31" hidden="1">
      <c r="A37" t="s">
        <v>63</v>
      </c>
      <c r="B37" s="21"/>
      <c r="C37" s="21"/>
      <c r="D37" s="21">
        <v>369607.84409999999</v>
      </c>
      <c r="E37" s="21"/>
      <c r="F37" s="21">
        <v>667781</v>
      </c>
      <c r="G37" s="21">
        <v>482079</v>
      </c>
    </row>
    <row r="38" spans="1:31" hidden="1">
      <c r="A38" t="s">
        <v>64</v>
      </c>
      <c r="B38" s="21"/>
      <c r="C38" s="21"/>
      <c r="D38" s="21">
        <v>111664.07520000001</v>
      </c>
      <c r="E38" s="21"/>
      <c r="F38" s="21">
        <v>118893</v>
      </c>
      <c r="G38" s="21">
        <v>85830</v>
      </c>
    </row>
    <row r="39" spans="1:31" hidden="1">
      <c r="A39" s="1" t="s">
        <v>73</v>
      </c>
      <c r="B39" s="22">
        <f>SUM(B7:B38)</f>
        <v>14279998</v>
      </c>
      <c r="C39" s="22">
        <f t="shared" ref="C39:G39" si="0">SUM(C7:C38)</f>
        <v>6245525</v>
      </c>
      <c r="D39" s="22">
        <f t="shared" si="0"/>
        <v>12382916.134200001</v>
      </c>
      <c r="E39" s="22">
        <f t="shared" si="0"/>
        <v>8395828</v>
      </c>
      <c r="F39" s="22">
        <f t="shared" si="0"/>
        <v>47200371</v>
      </c>
      <c r="G39" s="22">
        <f t="shared" si="0"/>
        <v>35531744</v>
      </c>
      <c r="H39" s="110">
        <f>SUM(B39:G39)</f>
        <v>124036382.13420001</v>
      </c>
    </row>
    <row r="40" spans="1:31">
      <c r="A40" s="1" t="s">
        <v>301</v>
      </c>
      <c r="B40" s="22"/>
      <c r="C40" s="22"/>
      <c r="D40" s="22"/>
      <c r="E40" s="22"/>
      <c r="F40" s="22"/>
      <c r="G40" s="22"/>
    </row>
    <row r="41" spans="1:31">
      <c r="A41" s="130" t="s">
        <v>176</v>
      </c>
      <c r="B41" s="22"/>
      <c r="C41" s="104">
        <v>1.4999999999999999E-2</v>
      </c>
      <c r="D41" s="22"/>
      <c r="E41" s="22"/>
      <c r="F41" s="22"/>
      <c r="G41" s="22"/>
    </row>
    <row r="42" spans="1:31">
      <c r="A42" s="128" t="s">
        <v>295</v>
      </c>
      <c r="B42" s="22"/>
      <c r="C42" s="104"/>
      <c r="D42" s="22"/>
      <c r="E42" s="22"/>
      <c r="F42" s="22"/>
      <c r="G42" s="22"/>
    </row>
    <row r="43" spans="1:31" s="19" customFormat="1">
      <c r="A43" s="19" t="s">
        <v>296</v>
      </c>
      <c r="B43" s="20"/>
      <c r="C43" s="20"/>
      <c r="D43" s="20"/>
      <c r="E43" s="20"/>
      <c r="F43" s="20"/>
      <c r="G43" s="20"/>
    </row>
    <row r="44" spans="1:31" s="19" customFormat="1">
      <c r="A44" s="19" t="s">
        <v>298</v>
      </c>
      <c r="B44" s="20"/>
      <c r="C44" s="20"/>
      <c r="D44" s="20"/>
      <c r="E44" s="20"/>
      <c r="F44" s="20"/>
      <c r="G44" s="20"/>
    </row>
    <row r="45" spans="1:31">
      <c r="A45" s="19" t="s">
        <v>313</v>
      </c>
      <c r="B45" s="22"/>
      <c r="C45" s="22"/>
      <c r="D45" s="22"/>
      <c r="E45" s="22"/>
      <c r="F45" s="22"/>
      <c r="G45" s="22"/>
    </row>
    <row r="46" spans="1:31">
      <c r="A46" s="1"/>
      <c r="B46" s="4">
        <v>2012</v>
      </c>
      <c r="C46" s="4">
        <v>2013</v>
      </c>
      <c r="D46" s="4">
        <v>2014</v>
      </c>
      <c r="E46" s="4">
        <v>2015</v>
      </c>
      <c r="F46" s="4">
        <v>2016</v>
      </c>
      <c r="G46" s="4">
        <v>2017</v>
      </c>
      <c r="H46" s="4">
        <v>2018</v>
      </c>
      <c r="I46" s="4">
        <v>2019</v>
      </c>
      <c r="J46" s="4">
        <v>2020</v>
      </c>
      <c r="K46" s="4">
        <v>2021</v>
      </c>
      <c r="L46" s="4">
        <v>2022</v>
      </c>
      <c r="M46" s="4">
        <v>2023</v>
      </c>
      <c r="N46" s="4">
        <v>2024</v>
      </c>
      <c r="O46" s="4">
        <v>2025</v>
      </c>
      <c r="P46" s="4">
        <v>2026</v>
      </c>
      <c r="Q46" s="4">
        <v>2027</v>
      </c>
      <c r="R46" s="4">
        <v>2028</v>
      </c>
      <c r="S46" s="4">
        <v>2029</v>
      </c>
      <c r="T46" s="4">
        <v>2030</v>
      </c>
      <c r="U46" s="4">
        <v>2031</v>
      </c>
      <c r="V46" s="4">
        <v>2032</v>
      </c>
      <c r="W46" s="4">
        <v>2033</v>
      </c>
      <c r="X46" s="4">
        <v>2034</v>
      </c>
      <c r="Y46" s="4">
        <v>2035</v>
      </c>
      <c r="Z46" s="4">
        <v>2036</v>
      </c>
      <c r="AA46" s="4">
        <v>2037</v>
      </c>
      <c r="AB46" s="4">
        <v>2038</v>
      </c>
      <c r="AC46" s="4">
        <v>2039</v>
      </c>
      <c r="AD46" s="4">
        <v>2040</v>
      </c>
      <c r="AE46" t="s">
        <v>114</v>
      </c>
    </row>
    <row r="47" spans="1:31" s="41" customFormat="1">
      <c r="A47" s="131" t="s">
        <v>322</v>
      </c>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row>
    <row r="48" spans="1:31" s="122" customFormat="1">
      <c r="A48" s="120" t="s">
        <v>297</v>
      </c>
      <c r="B48" s="142">
        <f>DVMT!H26</f>
        <v>16052374731.710001</v>
      </c>
      <c r="C48" s="125">
        <f>B48*(1+$C$41)</f>
        <v>16293160352.68565</v>
      </c>
      <c r="D48" s="125">
        <f t="shared" ref="D48:AD48" si="1">C48*(1+$C$41)</f>
        <v>16537557757.975933</v>
      </c>
      <c r="E48" s="125">
        <f t="shared" si="1"/>
        <v>16785621124.34557</v>
      </c>
      <c r="F48" s="125">
        <f t="shared" si="1"/>
        <v>17037405441.210751</v>
      </c>
      <c r="G48" s="125">
        <f t="shared" si="1"/>
        <v>17292966522.828911</v>
      </c>
      <c r="H48" s="125">
        <f t="shared" si="1"/>
        <v>17552361020.671341</v>
      </c>
      <c r="I48" s="125">
        <f t="shared" si="1"/>
        <v>17815646435.981411</v>
      </c>
      <c r="J48" s="125">
        <f t="shared" si="1"/>
        <v>18082881132.52113</v>
      </c>
      <c r="K48" s="125">
        <f t="shared" si="1"/>
        <v>18354124349.508945</v>
      </c>
      <c r="L48" s="125">
        <f t="shared" si="1"/>
        <v>18629436214.751579</v>
      </c>
      <c r="M48" s="125">
        <f t="shared" si="1"/>
        <v>18908877757.972851</v>
      </c>
      <c r="N48" s="125">
        <f t="shared" si="1"/>
        <v>19192510924.342442</v>
      </c>
      <c r="O48" s="125">
        <f t="shared" si="1"/>
        <v>19480398588.207577</v>
      </c>
      <c r="P48" s="125">
        <f t="shared" si="1"/>
        <v>19772604567.030689</v>
      </c>
      <c r="Q48" s="125">
        <f t="shared" si="1"/>
        <v>20069193635.536148</v>
      </c>
      <c r="R48" s="125">
        <f t="shared" si="1"/>
        <v>20370231540.069187</v>
      </c>
      <c r="S48" s="125">
        <f t="shared" si="1"/>
        <v>20675785013.170223</v>
      </c>
      <c r="T48" s="125">
        <f t="shared" si="1"/>
        <v>20985921788.367775</v>
      </c>
      <c r="U48" s="125">
        <f t="shared" si="1"/>
        <v>21300710615.193291</v>
      </c>
      <c r="V48" s="125">
        <f t="shared" si="1"/>
        <v>21620221274.421188</v>
      </c>
      <c r="W48" s="125">
        <f t="shared" si="1"/>
        <v>21944524593.537502</v>
      </c>
      <c r="X48" s="125">
        <f t="shared" si="1"/>
        <v>22273692462.440563</v>
      </c>
      <c r="Y48" s="125">
        <f t="shared" si="1"/>
        <v>22607797849.377171</v>
      </c>
      <c r="Z48" s="125">
        <f t="shared" si="1"/>
        <v>22946914817.117825</v>
      </c>
      <c r="AA48" s="125">
        <f t="shared" si="1"/>
        <v>23291118539.374588</v>
      </c>
      <c r="AB48" s="125">
        <f t="shared" si="1"/>
        <v>23640485317.465206</v>
      </c>
      <c r="AC48" s="125">
        <f t="shared" si="1"/>
        <v>23995092597.22718</v>
      </c>
      <c r="AD48" s="125">
        <f t="shared" si="1"/>
        <v>24355018986.185585</v>
      </c>
    </row>
    <row r="49" spans="1:30" ht="45">
      <c r="A49" s="147" t="s">
        <v>320</v>
      </c>
      <c r="B49" s="148"/>
      <c r="C49" s="149">
        <v>5.0000000000000001E-3</v>
      </c>
      <c r="D49" s="149">
        <v>5.0000000000000001E-3</v>
      </c>
      <c r="E49" s="149">
        <v>5.7999999999999996E-3</v>
      </c>
      <c r="F49" s="149">
        <v>5.7999999999999996E-3</v>
      </c>
      <c r="G49" s="149">
        <v>5.7999999999999996E-3</v>
      </c>
      <c r="H49" s="149">
        <v>5.7999999999999996E-3</v>
      </c>
      <c r="I49" s="149">
        <v>5.7999999999999996E-3</v>
      </c>
      <c r="J49" s="149">
        <v>5.4000000000000003E-3</v>
      </c>
      <c r="K49" s="149">
        <v>5.4000000000000003E-3</v>
      </c>
      <c r="L49" s="149">
        <v>5.4000000000000003E-3</v>
      </c>
      <c r="M49" s="149">
        <v>5.4000000000000003E-3</v>
      </c>
      <c r="N49" s="149">
        <v>5.4000000000000003E-3</v>
      </c>
      <c r="O49" s="149">
        <v>4.8999999999999998E-3</v>
      </c>
      <c r="P49" s="149">
        <v>4.8999999999999998E-3</v>
      </c>
      <c r="Q49" s="149">
        <v>4.8999999999999998E-3</v>
      </c>
      <c r="R49" s="149">
        <v>4.8999999999999998E-3</v>
      </c>
      <c r="S49" s="149">
        <v>4.8999999999999998E-3</v>
      </c>
      <c r="T49" s="149">
        <v>4.4000000000000003E-3</v>
      </c>
      <c r="U49" s="149">
        <v>4.4000000000000003E-3</v>
      </c>
      <c r="V49" s="149">
        <v>4.4000000000000003E-3</v>
      </c>
      <c r="W49" s="149">
        <v>4.4000000000000003E-3</v>
      </c>
      <c r="X49" s="149">
        <v>4.4000000000000003E-3</v>
      </c>
      <c r="Y49" s="149">
        <v>4.1000000000000003E-3</v>
      </c>
      <c r="Z49" s="149">
        <v>4.1000000000000003E-3</v>
      </c>
      <c r="AA49" s="149">
        <v>4.1000000000000003E-3</v>
      </c>
      <c r="AB49" s="149">
        <v>4.1000000000000003E-3</v>
      </c>
      <c r="AC49" s="149">
        <v>4.1000000000000003E-3</v>
      </c>
      <c r="AD49" s="149">
        <v>4.1000000000000003E-3</v>
      </c>
    </row>
    <row r="50" spans="1:30" s="41" customFormat="1">
      <c r="A50" s="118" t="s">
        <v>288</v>
      </c>
      <c r="B50" s="107"/>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row>
    <row r="51" spans="1:30">
      <c r="A51" s="126" t="s">
        <v>289</v>
      </c>
      <c r="B51" s="98">
        <f>B48*'AEO2013-Transportation_Sector_K'!D12</f>
        <v>14410863776.382877</v>
      </c>
      <c r="C51" s="98">
        <f>C48*'AEO2013-Transportation_Sector_K'!E12</f>
        <v>14540689336.816967</v>
      </c>
      <c r="D51" s="98">
        <f>D48*'AEO2013-Transportation_Sector_K'!F12</f>
        <v>14655229001.061844</v>
      </c>
      <c r="E51" s="98">
        <f>E48*'AEO2013-Transportation_Sector_K'!G12</f>
        <v>14819444571.960413</v>
      </c>
      <c r="F51" s="98">
        <f>F48*'AEO2013-Transportation_Sector_K'!H12</f>
        <v>15010315944.970184</v>
      </c>
      <c r="G51" s="98">
        <f>G48*'AEO2013-Transportation_Sector_K'!I12</f>
        <v>15210670105.146923</v>
      </c>
      <c r="H51" s="98">
        <f>H48*'AEO2013-Transportation_Sector_K'!J12</f>
        <v>15417285405.25234</v>
      </c>
      <c r="I51" s="98">
        <f>I48*'AEO2013-Transportation_Sector_K'!K12</f>
        <v>15630564718.113586</v>
      </c>
      <c r="J51" s="98">
        <f>J48*'AEO2013-Transportation_Sector_K'!L12</f>
        <v>15855311288.505816</v>
      </c>
      <c r="K51" s="98">
        <f>K48*'AEO2013-Transportation_Sector_K'!M12</f>
        <v>16084964501.373247</v>
      </c>
      <c r="L51" s="98">
        <f>L48*'AEO2013-Transportation_Sector_K'!N12</f>
        <v>16315781571.516315</v>
      </c>
      <c r="M51" s="98">
        <f>M48*'AEO2013-Transportation_Sector_K'!O12</f>
        <v>16559369425.440351</v>
      </c>
      <c r="N51" s="98">
        <f>N48*'AEO2013-Transportation_Sector_K'!P12</f>
        <v>16809898576.005714</v>
      </c>
      <c r="O51" s="98">
        <f>O48*'AEO2013-Transportation_Sector_K'!Q12</f>
        <v>17064724200.714043</v>
      </c>
      <c r="P51" s="98">
        <f>P48*'AEO2013-Transportation_Sector_K'!R12</f>
        <v>17325327981.625267</v>
      </c>
      <c r="Q51" s="98">
        <f>Q48*'AEO2013-Transportation_Sector_K'!S12</f>
        <v>17592865429.255177</v>
      </c>
      <c r="R51" s="98">
        <f>R48*'AEO2013-Transportation_Sector_K'!T12</f>
        <v>17865013059.094517</v>
      </c>
      <c r="S51" s="98">
        <f>S48*'AEO2013-Transportation_Sector_K'!U12</f>
        <v>18137718059.383133</v>
      </c>
      <c r="T51" s="98">
        <f>T48*'AEO2013-Transportation_Sector_K'!V12</f>
        <v>18408462302.60387</v>
      </c>
      <c r="U51" s="98">
        <f>U48*'AEO2013-Transportation_Sector_K'!W12</f>
        <v>18680319108.914078</v>
      </c>
      <c r="V51" s="98">
        <f>V48*'AEO2013-Transportation_Sector_K'!X12</f>
        <v>18958461477.551346</v>
      </c>
      <c r="W51" s="98">
        <f>W48*'AEO2013-Transportation_Sector_K'!Y12</f>
        <v>19237265730.737633</v>
      </c>
      <c r="X51" s="98">
        <f>X48*'AEO2013-Transportation_Sector_K'!Z12</f>
        <v>19513824747.77821</v>
      </c>
      <c r="Y51" s="98">
        <f>Y48*'AEO2013-Transportation_Sector_K'!AA12</f>
        <v>19792040572.619633</v>
      </c>
      <c r="Z51" s="98">
        <f>Z48*'AEO2013-Transportation_Sector_K'!AB12</f>
        <v>20074031115.76017</v>
      </c>
      <c r="AA51" s="98">
        <f>AA48*'AEO2013-Transportation_Sector_K'!AC12</f>
        <v>20356464402.510372</v>
      </c>
      <c r="AB51" s="98">
        <f>AB48*'AEO2013-Transportation_Sector_K'!AD12</f>
        <v>20642104012.658901</v>
      </c>
      <c r="AC51" s="98">
        <f>AC48*'AEO2013-Transportation_Sector_K'!AE12</f>
        <v>20931564648.991329</v>
      </c>
      <c r="AD51" s="98">
        <f>AD48*'AEO2013-Transportation_Sector_K'!AF12</f>
        <v>21224844029.020206</v>
      </c>
    </row>
    <row r="52" spans="1:30" ht="30">
      <c r="A52" s="126" t="s">
        <v>290</v>
      </c>
      <c r="B52" s="98">
        <f>B48*'AEO2013-Transportation_Sector_K'!D13</f>
        <v>351079205.96951193</v>
      </c>
      <c r="C52" s="98">
        <f>C48*'AEO2013-Transportation_Sector_K'!E13</f>
        <v>362431847.88146377</v>
      </c>
      <c r="D52" s="98">
        <f>D48*'AEO2013-Transportation_Sector_K'!F13</f>
        <v>377534229.43231744</v>
      </c>
      <c r="E52" s="98">
        <f>E48*'AEO2013-Transportation_Sector_K'!G13</f>
        <v>391116259.89603275</v>
      </c>
      <c r="F52" s="98">
        <f>F48*'AEO2013-Transportation_Sector_K'!H13</f>
        <v>402163103.65452349</v>
      </c>
      <c r="G52" s="98">
        <f>G48*'AEO2013-Transportation_Sector_K'!I13</f>
        <v>413059018.5390783</v>
      </c>
      <c r="H52" s="98">
        <f>H48*'AEO2013-Transportation_Sector_K'!J13</f>
        <v>423082840.45989782</v>
      </c>
      <c r="I52" s="98">
        <f>I48*'AEO2013-Transportation_Sector_K'!K13</f>
        <v>432868583.30925918</v>
      </c>
      <c r="J52" s="98">
        <f>J48*'AEO2013-Transportation_Sector_K'!L13</f>
        <v>441855187.19534534</v>
      </c>
      <c r="K52" s="98">
        <f>K48*'AEO2013-Transportation_Sector_K'!M13</f>
        <v>450563116.03646159</v>
      </c>
      <c r="L52" s="98">
        <f>L48*'AEO2013-Transportation_Sector_K'!N13</f>
        <v>459869035.66015857</v>
      </c>
      <c r="M52" s="98">
        <f>M48*'AEO2013-Transportation_Sector_K'!O13</f>
        <v>467624534.28350145</v>
      </c>
      <c r="N52" s="98">
        <f>N48*'AEO2013-Transportation_Sector_K'!P13</f>
        <v>475338702.59785366</v>
      </c>
      <c r="O52" s="98">
        <f>O48*'AEO2013-Transportation_Sector_K'!Q13</f>
        <v>483146105.28730243</v>
      </c>
      <c r="P52" s="98">
        <f>P48*'AEO2013-Transportation_Sector_K'!R13</f>
        <v>490942509.94270927</v>
      </c>
      <c r="Q52" s="98">
        <f>Q48*'AEO2013-Transportation_Sector_K'!S13</f>
        <v>498244398.50051391</v>
      </c>
      <c r="R52" s="98">
        <f>R48*'AEO2013-Transportation_Sector_K'!T13</f>
        <v>505514150.69589102</v>
      </c>
      <c r="S52" s="98">
        <f>S48*'AEO2013-Transportation_Sector_K'!U13</f>
        <v>513128307.09267163</v>
      </c>
      <c r="T52" s="98">
        <f>T48*'AEO2013-Transportation_Sector_K'!V13</f>
        <v>521573193.75349569</v>
      </c>
      <c r="U52" s="98">
        <f>U48*'AEO2013-Transportation_Sector_K'!W13</f>
        <v>530432989.89281201</v>
      </c>
      <c r="V52" s="98">
        <f>V48*'AEO2013-Transportation_Sector_K'!X13</f>
        <v>539088779.91068971</v>
      </c>
      <c r="W52" s="98">
        <f>W48*'AEO2013-Transportation_Sector_K'!Y13</f>
        <v>548211177.21267629</v>
      </c>
      <c r="X52" s="98">
        <f>X48*'AEO2013-Transportation_Sector_K'!Z13</f>
        <v>558354428.23416853</v>
      </c>
      <c r="Y52" s="98">
        <f>Y48*'AEO2013-Transportation_Sector_K'!AA13</f>
        <v>569130666.49010623</v>
      </c>
      <c r="Z52" s="98">
        <f>Z48*'AEO2013-Transportation_Sector_K'!AB13</f>
        <v>580281583.11520457</v>
      </c>
      <c r="AA52" s="98">
        <f>AA48*'AEO2013-Transportation_Sector_K'!AC13</f>
        <v>592062785.07299292</v>
      </c>
      <c r="AB52" s="98">
        <f>AB48*'AEO2013-Transportation_Sector_K'!AD13</f>
        <v>603943433.27750468</v>
      </c>
      <c r="AC52" s="98">
        <f>AC48*'AEO2013-Transportation_Sector_K'!AE13</f>
        <v>615688195.3061142</v>
      </c>
      <c r="AD52" s="98">
        <f>AD48*'AEO2013-Transportation_Sector_K'!AF13</f>
        <v>627667567.35587525</v>
      </c>
    </row>
    <row r="53" spans="1:30">
      <c r="A53" s="126" t="s">
        <v>291</v>
      </c>
      <c r="B53" s="98">
        <f>B48*'AEO2013-Transportation_Sector_K'!D14</f>
        <v>1290431749.35761</v>
      </c>
      <c r="C53" s="98">
        <f>C48*'AEO2013-Transportation_Sector_K'!E14</f>
        <v>1390039167.98722</v>
      </c>
      <c r="D53" s="98">
        <f>D48*'AEO2013-Transportation_Sector_K'!F14</f>
        <v>1504794527.48177</v>
      </c>
      <c r="E53" s="98">
        <f>E48*'AEO2013-Transportation_Sector_K'!G14</f>
        <v>1575060292.4891219</v>
      </c>
      <c r="F53" s="98">
        <f>F48*'AEO2013-Transportation_Sector_K'!H14</f>
        <v>1624926392.5860445</v>
      </c>
      <c r="G53" s="98">
        <f>G48*'AEO2013-Transportation_Sector_K'!I14</f>
        <v>1669237399.1429088</v>
      </c>
      <c r="H53" s="98">
        <f>H48*'AEO2013-Transportation_Sector_K'!J14</f>
        <v>1711992774.9591038</v>
      </c>
      <c r="I53" s="98">
        <f>I48*'AEO2013-Transportation_Sector_K'!K14</f>
        <v>1752213134.5585647</v>
      </c>
      <c r="J53" s="98">
        <f>J48*'AEO2013-Transportation_Sector_K'!L14</f>
        <v>1785714656.8199675</v>
      </c>
      <c r="K53" s="98">
        <f>K48*'AEO2013-Transportation_Sector_K'!M14</f>
        <v>1818596732.0992382</v>
      </c>
      <c r="L53" s="98">
        <f>L48*'AEO2013-Transportation_Sector_K'!N14</f>
        <v>1853785607.5751052</v>
      </c>
      <c r="M53" s="98">
        <f>M48*'AEO2013-Transportation_Sector_K'!O14</f>
        <v>1881883798.2489979</v>
      </c>
      <c r="N53" s="98">
        <f>N48*'AEO2013-Transportation_Sector_K'!P14</f>
        <v>1907273645.7388749</v>
      </c>
      <c r="O53" s="98">
        <f>O48*'AEO2013-Transportation_Sector_K'!Q14</f>
        <v>1932528282.2062328</v>
      </c>
      <c r="P53" s="98">
        <f>P48*'AEO2013-Transportation_Sector_K'!R14</f>
        <v>1956334075.4627128</v>
      </c>
      <c r="Q53" s="98">
        <f>Q48*'AEO2013-Transportation_Sector_K'!S14</f>
        <v>1978083807.7804594</v>
      </c>
      <c r="R53" s="98">
        <f>R48*'AEO2013-Transportation_Sector_K'!T14</f>
        <v>1999704330.2787802</v>
      </c>
      <c r="S53" s="98">
        <f>S48*'AEO2013-Transportation_Sector_K'!U14</f>
        <v>2024938646.6944211</v>
      </c>
      <c r="T53" s="98">
        <f>T48*'AEO2013-Transportation_Sector_K'!V14</f>
        <v>2055886292.0104079</v>
      </c>
      <c r="U53" s="98">
        <f>U48*'AEO2013-Transportation_Sector_K'!W14</f>
        <v>2089958516.3864007</v>
      </c>
      <c r="V53" s="98">
        <f>V48*'AEO2013-Transportation_Sector_K'!X14</f>
        <v>2122671016.9591517</v>
      </c>
      <c r="W53" s="98">
        <f>W48*'AEO2013-Transportation_Sector_K'!Y14</f>
        <v>2159047685.5871921</v>
      </c>
      <c r="X53" s="98">
        <f>X48*'AEO2013-Transportation_Sector_K'!Z14</f>
        <v>2201513286.4281864</v>
      </c>
      <c r="Y53" s="98">
        <f>Y48*'AEO2013-Transportation_Sector_K'!AA14</f>
        <v>2246626610.2674313</v>
      </c>
      <c r="Z53" s="98">
        <f>Z48*'AEO2013-Transportation_Sector_K'!AB14</f>
        <v>2292602118.2424521</v>
      </c>
      <c r="AA53" s="98">
        <f>AA48*'AEO2013-Transportation_Sector_K'!AC14</f>
        <v>2342591351.7912245</v>
      </c>
      <c r="AB53" s="98">
        <f>AB48*'AEO2013-Transportation_Sector_K'!AD14</f>
        <v>2394437871.528801</v>
      </c>
      <c r="AC53" s="98">
        <f>AC48*'AEO2013-Transportation_Sector_K'!AE14</f>
        <v>2447839752.929739</v>
      </c>
      <c r="AD53" s="98">
        <f>AD48*'AEO2013-Transportation_Sector_K'!AF14</f>
        <v>2502507389.8095007</v>
      </c>
    </row>
    <row r="54" spans="1:30" s="41" customFormat="1">
      <c r="A54" s="118" t="s">
        <v>299</v>
      </c>
    </row>
    <row r="55" spans="1:30" s="122" customFormat="1">
      <c r="A55" s="123" t="s">
        <v>293</v>
      </c>
      <c r="B55" s="121">
        <f>'AEO2013-Transportation_Sector_K'!B37</f>
        <v>20.945571999999999</v>
      </c>
      <c r="C55" s="121">
        <f>'AEO2013-Transportation_Sector_K'!C37</f>
        <v>20.562930999999999</v>
      </c>
      <c r="D55" s="121">
        <f>'AEO2013-Transportation_Sector_K'!D37</f>
        <v>20.887695000000001</v>
      </c>
      <c r="E55" s="121">
        <f>'AEO2013-Transportation_Sector_K'!E37</f>
        <v>21.218078999999999</v>
      </c>
      <c r="F55" s="121">
        <f>'AEO2013-Transportation_Sector_K'!F37</f>
        <v>21.571434</v>
      </c>
      <c r="G55" s="121">
        <f>'AEO2013-Transportation_Sector_K'!G37</f>
        <v>21.939333000000001</v>
      </c>
      <c r="H55" s="121">
        <f>'AEO2013-Transportation_Sector_K'!H37</f>
        <v>22.317018999999998</v>
      </c>
      <c r="I55" s="121">
        <f>'AEO2013-Transportation_Sector_K'!I37</f>
        <v>22.724972000000001</v>
      </c>
      <c r="J55" s="121">
        <f>'AEO2013-Transportation_Sector_K'!J37</f>
        <v>23.141386000000001</v>
      </c>
      <c r="K55" s="121">
        <f>'AEO2013-Transportation_Sector_K'!K37</f>
        <v>23.588305999999999</v>
      </c>
      <c r="L55" s="121">
        <f>'AEO2013-Transportation_Sector_K'!L37</f>
        <v>24.082304000000001</v>
      </c>
      <c r="M55" s="121">
        <f>'AEO2013-Transportation_Sector_K'!M37</f>
        <v>24.672367000000001</v>
      </c>
      <c r="N55" s="121">
        <f>'AEO2013-Transportation_Sector_K'!N37</f>
        <v>25.309034</v>
      </c>
      <c r="O55" s="121">
        <f>'AEO2013-Transportation_Sector_K'!O37</f>
        <v>26.006105000000002</v>
      </c>
      <c r="P55" s="121">
        <f>'AEO2013-Transportation_Sector_K'!P37</f>
        <v>26.752558000000001</v>
      </c>
      <c r="Q55" s="121">
        <f>'AEO2013-Transportation_Sector_K'!Q37</f>
        <v>27.559494000000001</v>
      </c>
      <c r="R55" s="121">
        <f>'AEO2013-Transportation_Sector_K'!R37</f>
        <v>28.357617999999999</v>
      </c>
      <c r="S55" s="121">
        <f>'AEO2013-Transportation_Sector_K'!S37</f>
        <v>29.138211999999999</v>
      </c>
      <c r="T55" s="121">
        <f>'AEO2013-Transportation_Sector_K'!T37</f>
        <v>29.896591000000001</v>
      </c>
      <c r="U55" s="121">
        <f>'AEO2013-Transportation_Sector_K'!U37</f>
        <v>30.626761999999999</v>
      </c>
      <c r="V55" s="121">
        <f>'AEO2013-Transportation_Sector_K'!V37</f>
        <v>31.328613000000001</v>
      </c>
      <c r="W55" s="121">
        <f>'AEO2013-Transportation_Sector_K'!W37</f>
        <v>31.992211999999999</v>
      </c>
      <c r="X55" s="121">
        <f>'AEO2013-Transportation_Sector_K'!X37</f>
        <v>32.616936000000003</v>
      </c>
      <c r="Y55" s="121">
        <f>'AEO2013-Transportation_Sector_K'!Y37</f>
        <v>33.196460999999999</v>
      </c>
      <c r="Z55" s="121">
        <f>'AEO2013-Transportation_Sector_K'!Z37</f>
        <v>33.731991000000001</v>
      </c>
      <c r="AA55" s="121">
        <f>'AEO2013-Transportation_Sector_K'!AA37</f>
        <v>34.229022999999998</v>
      </c>
      <c r="AB55" s="121">
        <f>'AEO2013-Transportation_Sector_K'!AB37</f>
        <v>34.677810999999998</v>
      </c>
      <c r="AC55" s="121">
        <f>'AEO2013-Transportation_Sector_K'!AC37</f>
        <v>35.088593000000003</v>
      </c>
      <c r="AD55" s="121">
        <f>'AEO2013-Transportation_Sector_K'!AD37</f>
        <v>35.461185</v>
      </c>
    </row>
    <row r="56" spans="1:30" s="122" customFormat="1" ht="30">
      <c r="A56" s="123" t="s">
        <v>292</v>
      </c>
      <c r="B56" s="121">
        <f>'AEO2013-Transportation_Sector_K'!B38</f>
        <v>14.638845</v>
      </c>
      <c r="C56" s="121">
        <f>'AEO2013-Transportation_Sector_K'!C38</f>
        <v>14.897622</v>
      </c>
      <c r="D56" s="121">
        <f>'AEO2013-Transportation_Sector_K'!D38</f>
        <v>15.172584000000001</v>
      </c>
      <c r="E56" s="121">
        <f>'AEO2013-Transportation_Sector_K'!E38</f>
        <v>15.461891</v>
      </c>
      <c r="F56" s="121">
        <f>'AEO2013-Transportation_Sector_K'!F38</f>
        <v>15.770160000000001</v>
      </c>
      <c r="G56" s="121">
        <f>'AEO2013-Transportation_Sector_K'!G38</f>
        <v>16.094093000000001</v>
      </c>
      <c r="H56" s="121">
        <f>'AEO2013-Transportation_Sector_K'!H38</f>
        <v>16.432085000000001</v>
      </c>
      <c r="I56" s="121">
        <f>'AEO2013-Transportation_Sector_K'!I38</f>
        <v>16.782433000000001</v>
      </c>
      <c r="J56" s="121">
        <f>'AEO2013-Transportation_Sector_K'!J38</f>
        <v>17.134975000000001</v>
      </c>
      <c r="K56" s="121">
        <f>'AEO2013-Transportation_Sector_K'!K38</f>
        <v>17.489858999999999</v>
      </c>
      <c r="L56" s="121">
        <f>'AEO2013-Transportation_Sector_K'!L38</f>
        <v>17.868901999999999</v>
      </c>
      <c r="M56" s="121">
        <f>'AEO2013-Transportation_Sector_K'!M38</f>
        <v>18.283445</v>
      </c>
      <c r="N56" s="121">
        <f>'AEO2013-Transportation_Sector_K'!N38</f>
        <v>18.711748</v>
      </c>
      <c r="O56" s="121">
        <f>'AEO2013-Transportation_Sector_K'!O38</f>
        <v>19.15699</v>
      </c>
      <c r="P56" s="121">
        <f>'AEO2013-Transportation_Sector_K'!P38</f>
        <v>19.627573000000002</v>
      </c>
      <c r="Q56" s="121">
        <f>'AEO2013-Transportation_Sector_K'!Q38</f>
        <v>20.125897999999999</v>
      </c>
      <c r="R56" s="121">
        <f>'AEO2013-Transportation_Sector_K'!R38</f>
        <v>20.596706000000001</v>
      </c>
      <c r="S56" s="121">
        <f>'AEO2013-Transportation_Sector_K'!S38</f>
        <v>21.033843999999998</v>
      </c>
      <c r="T56" s="121">
        <f>'AEO2013-Transportation_Sector_K'!T38</f>
        <v>21.446494999999999</v>
      </c>
      <c r="U56" s="121">
        <f>'AEO2013-Transportation_Sector_K'!U38</f>
        <v>21.828821000000001</v>
      </c>
      <c r="V56" s="121">
        <f>'AEO2013-Transportation_Sector_K'!V38</f>
        <v>22.18121</v>
      </c>
      <c r="W56" s="121">
        <f>'AEO2013-Transportation_Sector_K'!W38</f>
        <v>22.507442000000001</v>
      </c>
      <c r="X56" s="121">
        <f>'AEO2013-Transportation_Sector_K'!X38</f>
        <v>22.806882999999999</v>
      </c>
      <c r="Y56" s="121">
        <f>'AEO2013-Transportation_Sector_K'!Y38</f>
        <v>23.075417000000002</v>
      </c>
      <c r="Z56" s="121">
        <f>'AEO2013-Transportation_Sector_K'!Z38</f>
        <v>23.310452000000002</v>
      </c>
      <c r="AA56" s="121">
        <f>'AEO2013-Transportation_Sector_K'!AA38</f>
        <v>23.51511</v>
      </c>
      <c r="AB56" s="121">
        <f>'AEO2013-Transportation_Sector_K'!AB38</f>
        <v>23.687971000000001</v>
      </c>
      <c r="AC56" s="121">
        <f>'AEO2013-Transportation_Sector_K'!AC38</f>
        <v>23.829526999999999</v>
      </c>
      <c r="AD56" s="121">
        <f>'AEO2013-Transportation_Sector_K'!AD38</f>
        <v>23.940636000000001</v>
      </c>
    </row>
    <row r="57" spans="1:30" s="122" customFormat="1" ht="30.75" customHeight="1">
      <c r="A57" s="123" t="s">
        <v>294</v>
      </c>
      <c r="B57" s="121">
        <f>'AEO2013-Transportation_Sector_K'!B39</f>
        <v>6.6612799999999996</v>
      </c>
      <c r="C57" s="121">
        <f>'AEO2013-Transportation_Sector_K'!C39</f>
        <v>6.6740969999999997</v>
      </c>
      <c r="D57" s="121">
        <f>'AEO2013-Transportation_Sector_K'!D39</f>
        <v>6.6708660000000002</v>
      </c>
      <c r="E57" s="121">
        <f>'AEO2013-Transportation_Sector_K'!E39</f>
        <v>6.6636819999999997</v>
      </c>
      <c r="F57" s="121">
        <f>'AEO2013-Transportation_Sector_K'!F39</f>
        <v>6.7366739999999998</v>
      </c>
      <c r="G57" s="121">
        <f>'AEO2013-Transportation_Sector_K'!G39</f>
        <v>6.8233959999999998</v>
      </c>
      <c r="H57" s="121">
        <f>'AEO2013-Transportation_Sector_K'!H39</f>
        <v>6.9203000000000001</v>
      </c>
      <c r="I57" s="121">
        <f>'AEO2013-Transportation_Sector_K'!I39</f>
        <v>7.0251570000000001</v>
      </c>
      <c r="J57" s="121">
        <f>'AEO2013-Transportation_Sector_K'!J39</f>
        <v>7.1304850000000002</v>
      </c>
      <c r="K57" s="121">
        <f>'AEO2013-Transportation_Sector_K'!K39</f>
        <v>7.2330139999999998</v>
      </c>
      <c r="L57" s="121">
        <f>'AEO2013-Transportation_Sector_K'!L39</f>
        <v>7.3288169999999999</v>
      </c>
      <c r="M57" s="121">
        <f>'AEO2013-Transportation_Sector_K'!M39</f>
        <v>7.4177220000000004</v>
      </c>
      <c r="N57" s="121">
        <f>'AEO2013-Transportation_Sector_K'!N39</f>
        <v>7.4994670000000001</v>
      </c>
      <c r="O57" s="121">
        <f>'AEO2013-Transportation_Sector_K'!O39</f>
        <v>7.575189</v>
      </c>
      <c r="P57" s="121">
        <f>'AEO2013-Transportation_Sector_K'!P39</f>
        <v>7.6454279999999999</v>
      </c>
      <c r="Q57" s="121">
        <f>'AEO2013-Transportation_Sector_K'!Q39</f>
        <v>7.710178</v>
      </c>
      <c r="R57" s="121">
        <f>'AEO2013-Transportation_Sector_K'!R39</f>
        <v>7.771388</v>
      </c>
      <c r="S57" s="121">
        <f>'AEO2013-Transportation_Sector_K'!S39</f>
        <v>7.828614</v>
      </c>
      <c r="T57" s="121">
        <f>'AEO2013-Transportation_Sector_K'!T39</f>
        <v>7.8833799999999998</v>
      </c>
      <c r="U57" s="121">
        <f>'AEO2013-Transportation_Sector_K'!U39</f>
        <v>7.9335839999999997</v>
      </c>
      <c r="V57" s="121">
        <f>'AEO2013-Transportation_Sector_K'!V39</f>
        <v>7.9767279999999996</v>
      </c>
      <c r="W57" s="121">
        <f>'AEO2013-Transportation_Sector_K'!W39</f>
        <v>8.0125100000000007</v>
      </c>
      <c r="X57" s="121">
        <f>'AEO2013-Transportation_Sector_K'!X39</f>
        <v>8.0427769999999992</v>
      </c>
      <c r="Y57" s="121">
        <f>'AEO2013-Transportation_Sector_K'!Y39</f>
        <v>8.0700109999999992</v>
      </c>
      <c r="Z57" s="121">
        <f>'AEO2013-Transportation_Sector_K'!Z39</f>
        <v>8.0914330000000003</v>
      </c>
      <c r="AA57" s="121">
        <f>'AEO2013-Transportation_Sector_K'!AA39</f>
        <v>8.1077840000000005</v>
      </c>
      <c r="AB57" s="121">
        <f>'AEO2013-Transportation_Sector_K'!AB39</f>
        <v>8.1209030000000002</v>
      </c>
      <c r="AC57" s="121">
        <f>'AEO2013-Transportation_Sector_K'!AC39</f>
        <v>8.1303280000000004</v>
      </c>
      <c r="AD57" s="121">
        <f>'AEO2013-Transportation_Sector_K'!AD39</f>
        <v>8.1382010000000005</v>
      </c>
    </row>
    <row r="58" spans="1:30" s="41" customFormat="1">
      <c r="A58" s="118" t="s">
        <v>222</v>
      </c>
      <c r="B58" s="108"/>
    </row>
    <row r="59" spans="1:30" s="122" customFormat="1">
      <c r="A59" s="123" t="s">
        <v>293</v>
      </c>
      <c r="B59" s="121"/>
      <c r="C59" s="124">
        <f t="shared" ref="C59:AD59" si="2">(C55-B55)/B55</f>
        <v>-1.8268348078534193E-2</v>
      </c>
      <c r="D59" s="124">
        <f t="shared" si="2"/>
        <v>1.5793662878117998E-2</v>
      </c>
      <c r="E59" s="124">
        <f t="shared" si="2"/>
        <v>1.5817159337112051E-2</v>
      </c>
      <c r="F59" s="124">
        <f t="shared" si="2"/>
        <v>1.6653486868438965E-2</v>
      </c>
      <c r="G59" s="124">
        <f t="shared" si="2"/>
        <v>1.7054916237835709E-2</v>
      </c>
      <c r="H59" s="124">
        <f t="shared" si="2"/>
        <v>1.7215017430110436E-2</v>
      </c>
      <c r="I59" s="124">
        <f t="shared" si="2"/>
        <v>1.8279905573410263E-2</v>
      </c>
      <c r="J59" s="124">
        <f t="shared" si="2"/>
        <v>1.8324070982353668E-2</v>
      </c>
      <c r="K59" s="124">
        <f t="shared" si="2"/>
        <v>1.9312585685230723E-2</v>
      </c>
      <c r="L59" s="124">
        <f t="shared" si="2"/>
        <v>2.0942495828229518E-2</v>
      </c>
      <c r="M59" s="124">
        <f t="shared" si="2"/>
        <v>2.4501933037636293E-2</v>
      </c>
      <c r="N59" s="124">
        <f t="shared" si="2"/>
        <v>2.5804860960442069E-2</v>
      </c>
      <c r="O59" s="124">
        <f t="shared" si="2"/>
        <v>2.7542378741124654E-2</v>
      </c>
      <c r="P59" s="124">
        <f t="shared" si="2"/>
        <v>2.8702991086131464E-2</v>
      </c>
      <c r="Q59" s="124">
        <f t="shared" si="2"/>
        <v>3.0162947408617909E-2</v>
      </c>
      <c r="R59" s="124">
        <f t="shared" si="2"/>
        <v>2.8960038235825294E-2</v>
      </c>
      <c r="S59" s="124">
        <f t="shared" si="2"/>
        <v>2.7526783102868539E-2</v>
      </c>
      <c r="T59" s="124">
        <f t="shared" si="2"/>
        <v>2.6026957316392697E-2</v>
      </c>
      <c r="U59" s="124">
        <f t="shared" si="2"/>
        <v>2.4423219356347302E-2</v>
      </c>
      <c r="V59" s="124">
        <f t="shared" si="2"/>
        <v>2.2916265193166727E-2</v>
      </c>
      <c r="W59" s="124">
        <f t="shared" si="2"/>
        <v>2.1181882517428967E-2</v>
      </c>
      <c r="X59" s="124">
        <f t="shared" si="2"/>
        <v>1.9527377475493227E-2</v>
      </c>
      <c r="Y59" s="124">
        <f t="shared" si="2"/>
        <v>1.7767610053868847E-2</v>
      </c>
      <c r="Z59" s="124">
        <f t="shared" si="2"/>
        <v>1.6132141314702232E-2</v>
      </c>
      <c r="AA59" s="124">
        <f t="shared" si="2"/>
        <v>1.4734736529486127E-2</v>
      </c>
      <c r="AB59" s="124">
        <f t="shared" si="2"/>
        <v>1.3111329528745254E-2</v>
      </c>
      <c r="AC59" s="124">
        <f t="shared" si="2"/>
        <v>1.1845672727151223E-2</v>
      </c>
      <c r="AD59" s="124">
        <f t="shared" si="2"/>
        <v>1.0618607591361596E-2</v>
      </c>
    </row>
    <row r="60" spans="1:30" ht="30">
      <c r="A60" s="123" t="s">
        <v>292</v>
      </c>
      <c r="B60" s="99"/>
      <c r="C60" s="124">
        <f t="shared" ref="C60:AD60" si="3">(C56-B56)/B56</f>
        <v>1.7677419222623114E-2</v>
      </c>
      <c r="D60" s="124">
        <f t="shared" si="3"/>
        <v>1.8456771154483607E-2</v>
      </c>
      <c r="E60" s="124">
        <f t="shared" si="3"/>
        <v>1.9067747458178453E-2</v>
      </c>
      <c r="F60" s="124">
        <f t="shared" si="3"/>
        <v>1.9937341428677841E-2</v>
      </c>
      <c r="G60" s="124">
        <f t="shared" si="3"/>
        <v>2.0540882273864074E-2</v>
      </c>
      <c r="H60" s="124">
        <f t="shared" si="3"/>
        <v>2.1000997073895362E-2</v>
      </c>
      <c r="I60" s="124">
        <f t="shared" si="3"/>
        <v>2.1320970528085775E-2</v>
      </c>
      <c r="J60" s="124">
        <f t="shared" si="3"/>
        <v>2.1006608517370493E-2</v>
      </c>
      <c r="K60" s="124">
        <f t="shared" si="3"/>
        <v>2.0711089453004653E-2</v>
      </c>
      <c r="L60" s="124">
        <f t="shared" si="3"/>
        <v>2.1672158706368037E-2</v>
      </c>
      <c r="M60" s="124">
        <f t="shared" si="3"/>
        <v>2.3199131093785276E-2</v>
      </c>
      <c r="N60" s="124">
        <f t="shared" si="3"/>
        <v>2.3425727481883183E-2</v>
      </c>
      <c r="O60" s="124">
        <f t="shared" si="3"/>
        <v>2.3794783897260714E-2</v>
      </c>
      <c r="P60" s="124">
        <f t="shared" si="3"/>
        <v>2.4564558419668293E-2</v>
      </c>
      <c r="Q60" s="124">
        <f t="shared" si="3"/>
        <v>2.5389027976102683E-2</v>
      </c>
      <c r="R60" s="124">
        <f t="shared" si="3"/>
        <v>2.3393142507231315E-2</v>
      </c>
      <c r="S60" s="124">
        <f t="shared" si="3"/>
        <v>2.1223684991182441E-2</v>
      </c>
      <c r="T60" s="124">
        <f t="shared" si="3"/>
        <v>1.9618430183279877E-2</v>
      </c>
      <c r="U60" s="124">
        <f t="shared" si="3"/>
        <v>1.7826968928955647E-2</v>
      </c>
      <c r="V60" s="124">
        <f t="shared" si="3"/>
        <v>1.6143290560676579E-2</v>
      </c>
      <c r="W60" s="124">
        <f t="shared" si="3"/>
        <v>1.4707583580877733E-2</v>
      </c>
      <c r="X60" s="124">
        <f t="shared" si="3"/>
        <v>1.330408848770989E-2</v>
      </c>
      <c r="Y60" s="124">
        <f t="shared" si="3"/>
        <v>1.1774252535956032E-2</v>
      </c>
      <c r="Z60" s="124">
        <f t="shared" si="3"/>
        <v>1.0185514740643685E-2</v>
      </c>
      <c r="AA60" s="124">
        <f t="shared" si="3"/>
        <v>8.7796667349049444E-3</v>
      </c>
      <c r="AB60" s="124">
        <f t="shared" si="3"/>
        <v>7.3510606584447635E-3</v>
      </c>
      <c r="AC60" s="124">
        <f t="shared" si="3"/>
        <v>5.9758600683865156E-3</v>
      </c>
      <c r="AD60" s="124">
        <f t="shared" si="3"/>
        <v>4.6626607401818159E-3</v>
      </c>
    </row>
    <row r="61" spans="1:30" ht="30">
      <c r="A61" s="123" t="s">
        <v>294</v>
      </c>
      <c r="B61" s="99"/>
      <c r="C61" s="124">
        <f t="shared" ref="C61:AD61" si="4">(C57-B57)/B57</f>
        <v>1.9241046765786874E-3</v>
      </c>
      <c r="D61" s="124">
        <f t="shared" si="4"/>
        <v>-4.841104347149195E-4</v>
      </c>
      <c r="E61" s="124">
        <f t="shared" si="4"/>
        <v>-1.0769216470545987E-3</v>
      </c>
      <c r="F61" s="124">
        <f t="shared" si="4"/>
        <v>1.0953703973268858E-2</v>
      </c>
      <c r="G61" s="124">
        <f t="shared" si="4"/>
        <v>1.2873118099525073E-2</v>
      </c>
      <c r="H61" s="124">
        <f t="shared" si="4"/>
        <v>1.4201725944090058E-2</v>
      </c>
      <c r="I61" s="124">
        <f t="shared" si="4"/>
        <v>1.5152088782278221E-2</v>
      </c>
      <c r="J61" s="124">
        <f t="shared" si="4"/>
        <v>1.4992974534234621E-2</v>
      </c>
      <c r="K61" s="124">
        <f t="shared" si="4"/>
        <v>1.437896580667369E-2</v>
      </c>
      <c r="L61" s="124">
        <f t="shared" si="4"/>
        <v>1.3245239121616533E-2</v>
      </c>
      <c r="M61" s="124">
        <f t="shared" si="4"/>
        <v>1.2130880058814466E-2</v>
      </c>
      <c r="N61" s="124">
        <f t="shared" si="4"/>
        <v>1.1020229660804183E-2</v>
      </c>
      <c r="O61" s="124">
        <f t="shared" si="4"/>
        <v>1.0096984225678951E-2</v>
      </c>
      <c r="P61" s="124">
        <f t="shared" si="4"/>
        <v>9.2722439004492094E-3</v>
      </c>
      <c r="Q61" s="124">
        <f t="shared" si="4"/>
        <v>8.4691138285521873E-3</v>
      </c>
      <c r="R61" s="124">
        <f t="shared" si="4"/>
        <v>7.9388569239257495E-3</v>
      </c>
      <c r="S61" s="124">
        <f t="shared" si="4"/>
        <v>7.3636781486138636E-3</v>
      </c>
      <c r="T61" s="124">
        <f t="shared" si="4"/>
        <v>6.9956188924373934E-3</v>
      </c>
      <c r="U61" s="124">
        <f t="shared" si="4"/>
        <v>6.3683343946378222E-3</v>
      </c>
      <c r="V61" s="124">
        <f t="shared" si="4"/>
        <v>5.4381475005495436E-3</v>
      </c>
      <c r="W61" s="124">
        <f t="shared" si="4"/>
        <v>4.4857991898433914E-3</v>
      </c>
      <c r="X61" s="124">
        <f t="shared" si="4"/>
        <v>3.777467984439144E-3</v>
      </c>
      <c r="Y61" s="124">
        <f t="shared" si="4"/>
        <v>3.3861438654832756E-3</v>
      </c>
      <c r="Z61" s="124">
        <f t="shared" si="4"/>
        <v>2.6545193061076576E-3</v>
      </c>
      <c r="AA61" s="124">
        <f t="shared" si="4"/>
        <v>2.020779261226068E-3</v>
      </c>
      <c r="AB61" s="124">
        <f t="shared" si="4"/>
        <v>1.6180746798384932E-3</v>
      </c>
      <c r="AC61" s="124">
        <f t="shared" si="4"/>
        <v>1.1605852206337446E-3</v>
      </c>
      <c r="AD61" s="124">
        <f t="shared" si="4"/>
        <v>9.6834961639924227E-4</v>
      </c>
    </row>
    <row r="62" spans="1:30" s="41" customFormat="1">
      <c r="A62" s="118" t="s">
        <v>220</v>
      </c>
    </row>
    <row r="63" spans="1:30" s="122" customFormat="1">
      <c r="A63" s="123" t="s">
        <v>293</v>
      </c>
      <c r="B63" s="125">
        <f>B51/B55</f>
        <v>688014811.74077642</v>
      </c>
      <c r="C63" s="125">
        <f t="shared" ref="C63:AD64" si="5">C51/C55</f>
        <v>707131164.17192507</v>
      </c>
      <c r="D63" s="125">
        <f t="shared" si="5"/>
        <v>701620212.33371341</v>
      </c>
      <c r="E63" s="125">
        <f t="shared" si="5"/>
        <v>698434791.00819695</v>
      </c>
      <c r="F63" s="125">
        <f t="shared" si="5"/>
        <v>695842285.91247964</v>
      </c>
      <c r="G63" s="125">
        <f t="shared" si="5"/>
        <v>693305949.87308514</v>
      </c>
      <c r="H63" s="125">
        <f t="shared" si="5"/>
        <v>690830858.96249592</v>
      </c>
      <c r="I63" s="125">
        <f t="shared" si="5"/>
        <v>687814476.43207598</v>
      </c>
      <c r="J63" s="125">
        <f t="shared" si="5"/>
        <v>685149596.85240185</v>
      </c>
      <c r="K63" s="125">
        <f t="shared" si="5"/>
        <v>681904181.73196697</v>
      </c>
      <c r="L63" s="125">
        <f t="shared" si="5"/>
        <v>677500855.87808859</v>
      </c>
      <c r="M63" s="125">
        <f t="shared" si="5"/>
        <v>671170683.6008215</v>
      </c>
      <c r="N63" s="125">
        <f t="shared" si="5"/>
        <v>664185704.44078243</v>
      </c>
      <c r="O63" s="125">
        <f t="shared" si="5"/>
        <v>656181469.72466815</v>
      </c>
      <c r="P63" s="125">
        <f t="shared" si="5"/>
        <v>647613883.56303227</v>
      </c>
      <c r="Q63" s="125">
        <f t="shared" si="5"/>
        <v>638359522.46638405</v>
      </c>
      <c r="R63" s="125">
        <f t="shared" si="5"/>
        <v>629989904.62085068</v>
      </c>
      <c r="S63" s="125">
        <f t="shared" si="5"/>
        <v>622471895.64627826</v>
      </c>
      <c r="T63" s="125">
        <f t="shared" si="5"/>
        <v>615737837.88940585</v>
      </c>
      <c r="U63" s="125">
        <f t="shared" si="5"/>
        <v>609934511.1609931</v>
      </c>
      <c r="V63" s="125">
        <f t="shared" si="5"/>
        <v>605148446.16808748</v>
      </c>
      <c r="W63" s="125">
        <f t="shared" si="5"/>
        <v>601310898.1253823</v>
      </c>
      <c r="X63" s="125">
        <f t="shared" si="5"/>
        <v>598272773.00903463</v>
      </c>
      <c r="Y63" s="125">
        <f t="shared" si="5"/>
        <v>596209354.14228737</v>
      </c>
      <c r="Z63" s="125">
        <f t="shared" si="5"/>
        <v>595103654.44364583</v>
      </c>
      <c r="AA63" s="125">
        <f t="shared" si="5"/>
        <v>594713568.14684355</v>
      </c>
      <c r="AB63" s="125">
        <f t="shared" si="5"/>
        <v>595253951.08298218</v>
      </c>
      <c r="AC63" s="125">
        <f t="shared" si="5"/>
        <v>596534738.48299718</v>
      </c>
      <c r="AD63" s="125">
        <f t="shared" si="5"/>
        <v>598537359.34149432</v>
      </c>
    </row>
    <row r="64" spans="1:30" s="122" customFormat="1" ht="30">
      <c r="A64" s="123" t="s">
        <v>292</v>
      </c>
      <c r="B64" s="125">
        <f t="shared" ref="B64:Q64" si="6">B52/B56</f>
        <v>23982712.158610322</v>
      </c>
      <c r="C64" s="125">
        <f t="shared" si="6"/>
        <v>24328167.802986529</v>
      </c>
      <c r="D64" s="125">
        <f t="shared" si="6"/>
        <v>24882658.710758656</v>
      </c>
      <c r="E64" s="125">
        <f t="shared" si="6"/>
        <v>25295499.748124778</v>
      </c>
      <c r="F64" s="125">
        <f t="shared" si="6"/>
        <v>25501523.361495603</v>
      </c>
      <c r="G64" s="125">
        <f t="shared" si="6"/>
        <v>25665256.099804956</v>
      </c>
      <c r="H64" s="125">
        <f t="shared" si="6"/>
        <v>25747361.972622331</v>
      </c>
      <c r="I64" s="125">
        <f t="shared" si="6"/>
        <v>25792957.630711779</v>
      </c>
      <c r="J64" s="125">
        <f t="shared" si="6"/>
        <v>25786742.449017014</v>
      </c>
      <c r="K64" s="125">
        <f t="shared" si="6"/>
        <v>25761392.132232834</v>
      </c>
      <c r="L64" s="125">
        <f t="shared" si="6"/>
        <v>25735718.717364874</v>
      </c>
      <c r="M64" s="125">
        <f t="shared" si="6"/>
        <v>25576390.788688973</v>
      </c>
      <c r="N64" s="125">
        <f t="shared" si="6"/>
        <v>25403222.755984832</v>
      </c>
      <c r="O64" s="125">
        <f t="shared" si="6"/>
        <v>25220355.874659978</v>
      </c>
      <c r="P64" s="125">
        <f t="shared" si="6"/>
        <v>25012899.452352528</v>
      </c>
      <c r="Q64" s="125">
        <f t="shared" si="6"/>
        <v>24756380.982379716</v>
      </c>
      <c r="R64" s="125">
        <f t="shared" si="5"/>
        <v>24543446.447013956</v>
      </c>
      <c r="S64" s="125">
        <f t="shared" si="5"/>
        <v>24395365.254808947</v>
      </c>
      <c r="T64" s="125">
        <f t="shared" si="5"/>
        <v>24319740.533522878</v>
      </c>
      <c r="U64" s="125">
        <f t="shared" si="5"/>
        <v>24299662.812426377</v>
      </c>
      <c r="V64" s="125">
        <f t="shared" si="5"/>
        <v>24303849.064622249</v>
      </c>
      <c r="W64" s="125">
        <f t="shared" si="5"/>
        <v>24356885.034411117</v>
      </c>
      <c r="X64" s="125">
        <f t="shared" si="5"/>
        <v>24481838.585052088</v>
      </c>
      <c r="Y64" s="125">
        <f t="shared" si="5"/>
        <v>24663938.532079667</v>
      </c>
      <c r="Z64" s="125">
        <f t="shared" si="5"/>
        <v>24893622.102016922</v>
      </c>
      <c r="AA64" s="125">
        <f t="shared" si="5"/>
        <v>25177972.166534323</v>
      </c>
      <c r="AB64" s="125">
        <f t="shared" si="5"/>
        <v>25495785.741949137</v>
      </c>
      <c r="AC64" s="125">
        <f t="shared" si="5"/>
        <v>25837197.494776722</v>
      </c>
      <c r="AD64" s="125">
        <f t="shared" si="5"/>
        <v>26217664.700130574</v>
      </c>
    </row>
    <row r="65" spans="1:31" s="122" customFormat="1" ht="30">
      <c r="A65" s="127" t="s">
        <v>311</v>
      </c>
      <c r="B65" s="129">
        <f>SUM(B63:B64)</f>
        <v>711997523.89938676</v>
      </c>
      <c r="C65" s="129">
        <f t="shared" ref="C65:AD65" si="7">SUM(C63:C64)</f>
        <v>731459331.97491157</v>
      </c>
      <c r="D65" s="129">
        <f t="shared" si="7"/>
        <v>726502871.0444721</v>
      </c>
      <c r="E65" s="129">
        <f t="shared" si="7"/>
        <v>723730290.75632167</v>
      </c>
      <c r="F65" s="129">
        <f t="shared" si="7"/>
        <v>721343809.27397525</v>
      </c>
      <c r="G65" s="129">
        <f t="shared" si="7"/>
        <v>718971205.97289014</v>
      </c>
      <c r="H65" s="129">
        <f t="shared" si="7"/>
        <v>716578220.9351182</v>
      </c>
      <c r="I65" s="129">
        <f t="shared" si="7"/>
        <v>713607434.06278777</v>
      </c>
      <c r="J65" s="129">
        <f t="shared" si="7"/>
        <v>710936339.3014189</v>
      </c>
      <c r="K65" s="129">
        <f t="shared" si="7"/>
        <v>707665573.86419976</v>
      </c>
      <c r="L65" s="129">
        <f t="shared" si="7"/>
        <v>703236574.5954535</v>
      </c>
      <c r="M65" s="129">
        <f t="shared" si="7"/>
        <v>696747074.38951051</v>
      </c>
      <c r="N65" s="129">
        <f t="shared" si="7"/>
        <v>689588927.19676721</v>
      </c>
      <c r="O65" s="129">
        <f t="shared" si="7"/>
        <v>681401825.59932816</v>
      </c>
      <c r="P65" s="129">
        <f t="shared" si="7"/>
        <v>672626783.01538479</v>
      </c>
      <c r="Q65" s="129">
        <f t="shared" si="7"/>
        <v>663115903.44876373</v>
      </c>
      <c r="R65" s="129">
        <f t="shared" si="7"/>
        <v>654533351.06786466</v>
      </c>
      <c r="S65" s="129">
        <f t="shared" si="7"/>
        <v>646867260.90108716</v>
      </c>
      <c r="T65" s="129">
        <f t="shared" si="7"/>
        <v>640057578.42292869</v>
      </c>
      <c r="U65" s="129">
        <f t="shared" si="7"/>
        <v>634234173.97341943</v>
      </c>
      <c r="V65" s="129">
        <f t="shared" si="7"/>
        <v>629452295.23270977</v>
      </c>
      <c r="W65" s="129">
        <f t="shared" si="7"/>
        <v>625667783.15979338</v>
      </c>
      <c r="X65" s="129">
        <f t="shared" si="7"/>
        <v>622754611.59408677</v>
      </c>
      <c r="Y65" s="129">
        <f t="shared" si="7"/>
        <v>620873292.67436707</v>
      </c>
      <c r="Z65" s="129">
        <f t="shared" si="7"/>
        <v>619997276.54566276</v>
      </c>
      <c r="AA65" s="129">
        <f t="shared" si="7"/>
        <v>619891540.31337786</v>
      </c>
      <c r="AB65" s="129">
        <f t="shared" si="7"/>
        <v>620749736.82493126</v>
      </c>
      <c r="AC65" s="129">
        <f t="shared" si="7"/>
        <v>622371935.9777739</v>
      </c>
      <c r="AD65" s="129">
        <f t="shared" si="7"/>
        <v>624755024.0416249</v>
      </c>
    </row>
    <row r="66" spans="1:31" s="122" customFormat="1" ht="30">
      <c r="A66" s="123" t="s">
        <v>294</v>
      </c>
      <c r="B66" s="125">
        <f t="shared" ref="B66:AD66" si="8">B53/B57</f>
        <v>193721289.2053194</v>
      </c>
      <c r="C66" s="125">
        <f t="shared" si="8"/>
        <v>208273743.69704548</v>
      </c>
      <c r="D66" s="125">
        <f t="shared" si="8"/>
        <v>225577088.1144622</v>
      </c>
      <c r="E66" s="125">
        <f t="shared" si="8"/>
        <v>236364864.42317057</v>
      </c>
      <c r="F66" s="125">
        <f t="shared" si="8"/>
        <v>241206030.24371442</v>
      </c>
      <c r="G66" s="125">
        <f t="shared" si="8"/>
        <v>244634401.86424896</v>
      </c>
      <c r="H66" s="125">
        <f t="shared" si="8"/>
        <v>247387074.97638884</v>
      </c>
      <c r="I66" s="125">
        <f t="shared" si="8"/>
        <v>249419783.01105079</v>
      </c>
      <c r="J66" s="125">
        <f t="shared" si="8"/>
        <v>250433828.38894793</v>
      </c>
      <c r="K66" s="125">
        <f t="shared" si="8"/>
        <v>251430003.052564</v>
      </c>
      <c r="L66" s="125">
        <f t="shared" si="8"/>
        <v>252944725.94623458</v>
      </c>
      <c r="M66" s="125">
        <f t="shared" si="8"/>
        <v>253701041.67411476</v>
      </c>
      <c r="N66" s="125">
        <f t="shared" si="8"/>
        <v>254321226.52701518</v>
      </c>
      <c r="O66" s="125">
        <f t="shared" si="8"/>
        <v>255112879.98309124</v>
      </c>
      <c r="P66" s="125">
        <f t="shared" si="8"/>
        <v>255882872.15087408</v>
      </c>
      <c r="Q66" s="125">
        <f t="shared" si="8"/>
        <v>256554882.10265177</v>
      </c>
      <c r="R66" s="125">
        <f t="shared" si="8"/>
        <v>257316238.78241315</v>
      </c>
      <c r="S66" s="125">
        <f t="shared" si="8"/>
        <v>258658639.53624755</v>
      </c>
      <c r="T66" s="125">
        <f t="shared" si="8"/>
        <v>260787415.04410645</v>
      </c>
      <c r="U66" s="125">
        <f t="shared" si="8"/>
        <v>263431825.56413352</v>
      </c>
      <c r="V66" s="125">
        <f t="shared" si="8"/>
        <v>266107985.24898326</v>
      </c>
      <c r="W66" s="125">
        <f t="shared" si="8"/>
        <v>269459593.25943953</v>
      </c>
      <c r="X66" s="125">
        <f t="shared" si="8"/>
        <v>273725516.25243205</v>
      </c>
      <c r="Y66" s="125">
        <f t="shared" si="8"/>
        <v>278392013.37735868</v>
      </c>
      <c r="Z66" s="125">
        <f t="shared" si="8"/>
        <v>283336971.12025177</v>
      </c>
      <c r="AA66" s="125">
        <f t="shared" si="8"/>
        <v>288931149.59540415</v>
      </c>
      <c r="AB66" s="125">
        <f t="shared" si="8"/>
        <v>294848722.06068718</v>
      </c>
      <c r="AC66" s="125">
        <f t="shared" si="8"/>
        <v>301075153.78589141</v>
      </c>
      <c r="AD66" s="125">
        <f t="shared" si="8"/>
        <v>307501300.32540369</v>
      </c>
    </row>
    <row r="67" spans="1:31" s="130" customFormat="1">
      <c r="A67" s="127" t="s">
        <v>133</v>
      </c>
      <c r="B67" s="129">
        <f>SUM(B65:B66)</f>
        <v>905718813.10470617</v>
      </c>
      <c r="C67" s="129">
        <f t="shared" ref="C67:AD67" si="9">SUM(C65:C66)</f>
        <v>939733075.67195702</v>
      </c>
      <c r="D67" s="129">
        <f t="shared" si="9"/>
        <v>952079959.15893435</v>
      </c>
      <c r="E67" s="129">
        <f t="shared" si="9"/>
        <v>960095155.17949224</v>
      </c>
      <c r="F67" s="129">
        <f t="shared" si="9"/>
        <v>962549839.5176897</v>
      </c>
      <c r="G67" s="129">
        <f t="shared" si="9"/>
        <v>963605607.83713913</v>
      </c>
      <c r="H67" s="129">
        <f t="shared" si="9"/>
        <v>963965295.91150701</v>
      </c>
      <c r="I67" s="129">
        <f t="shared" si="9"/>
        <v>963027217.07383859</v>
      </c>
      <c r="J67" s="129">
        <f t="shared" si="9"/>
        <v>961370167.69036686</v>
      </c>
      <c r="K67" s="129">
        <f t="shared" si="9"/>
        <v>959095576.91676378</v>
      </c>
      <c r="L67" s="129">
        <f t="shared" si="9"/>
        <v>956181300.54168808</v>
      </c>
      <c r="M67" s="129">
        <f t="shared" si="9"/>
        <v>950448116.06362534</v>
      </c>
      <c r="N67" s="129">
        <f t="shared" si="9"/>
        <v>943910153.72378242</v>
      </c>
      <c r="O67" s="129">
        <f t="shared" si="9"/>
        <v>936514705.5824194</v>
      </c>
      <c r="P67" s="129">
        <f t="shared" si="9"/>
        <v>928509655.16625881</v>
      </c>
      <c r="Q67" s="129">
        <f t="shared" si="9"/>
        <v>919670785.55141544</v>
      </c>
      <c r="R67" s="129">
        <f t="shared" si="9"/>
        <v>911849589.85027778</v>
      </c>
      <c r="S67" s="129">
        <f t="shared" si="9"/>
        <v>905525900.43733478</v>
      </c>
      <c r="T67" s="129">
        <f t="shared" si="9"/>
        <v>900844993.46703517</v>
      </c>
      <c r="U67" s="129">
        <f t="shared" si="9"/>
        <v>897665999.53755295</v>
      </c>
      <c r="V67" s="129">
        <f t="shared" si="9"/>
        <v>895560280.48169303</v>
      </c>
      <c r="W67" s="129">
        <f t="shared" si="9"/>
        <v>895127376.41923285</v>
      </c>
      <c r="X67" s="129">
        <f t="shared" si="9"/>
        <v>896480127.84651875</v>
      </c>
      <c r="Y67" s="129">
        <f t="shared" si="9"/>
        <v>899265306.05172575</v>
      </c>
      <c r="Z67" s="129">
        <f t="shared" si="9"/>
        <v>903334247.66591454</v>
      </c>
      <c r="AA67" s="129">
        <f t="shared" si="9"/>
        <v>908822689.90878201</v>
      </c>
      <c r="AB67" s="129">
        <f t="shared" si="9"/>
        <v>915598458.88561845</v>
      </c>
      <c r="AC67" s="129">
        <f t="shared" si="9"/>
        <v>923447089.76366532</v>
      </c>
      <c r="AD67" s="129">
        <f t="shared" si="9"/>
        <v>932256324.36702859</v>
      </c>
    </row>
    <row r="68" spans="1:31" s="41" customFormat="1">
      <c r="A68" s="118" t="s">
        <v>221</v>
      </c>
      <c r="B68" s="109"/>
    </row>
    <row r="69" spans="1:31">
      <c r="A69" s="123" t="s">
        <v>293</v>
      </c>
      <c r="B69" s="22"/>
      <c r="C69" s="100">
        <f t="shared" ref="C69:AD69" si="10">(C63-B63)/B63</f>
        <v>2.778479780512505E-2</v>
      </c>
      <c r="D69" s="100">
        <f t="shared" si="10"/>
        <v>-7.7933940935345E-3</v>
      </c>
      <c r="E69" s="100">
        <f t="shared" si="10"/>
        <v>-4.5400934430340672E-3</v>
      </c>
      <c r="F69" s="100">
        <f t="shared" si="10"/>
        <v>-3.7118785162105201E-3</v>
      </c>
      <c r="G69" s="100">
        <f t="shared" si="10"/>
        <v>-3.6449869327336458E-3</v>
      </c>
      <c r="H69" s="100">
        <f t="shared" si="10"/>
        <v>-3.5699836573482488E-3</v>
      </c>
      <c r="I69" s="100">
        <f t="shared" si="10"/>
        <v>-4.3663112197246242E-3</v>
      </c>
      <c r="J69" s="100">
        <f t="shared" si="10"/>
        <v>-3.8744162430220247E-3</v>
      </c>
      <c r="K69" s="100">
        <f t="shared" si="10"/>
        <v>-4.7367978253864797E-3</v>
      </c>
      <c r="L69" s="100">
        <f t="shared" si="10"/>
        <v>-6.4573967601934644E-3</v>
      </c>
      <c r="M69" s="100">
        <f t="shared" si="10"/>
        <v>-9.3434159120917293E-3</v>
      </c>
      <c r="N69" s="100">
        <f t="shared" si="10"/>
        <v>-1.0407157718160082E-2</v>
      </c>
      <c r="O69" s="100">
        <f t="shared" si="10"/>
        <v>-1.2051199931882793E-2</v>
      </c>
      <c r="P69" s="100">
        <f t="shared" si="10"/>
        <v>-1.305673286572815E-2</v>
      </c>
      <c r="Q69" s="100">
        <f t="shared" si="10"/>
        <v>-1.4289936228254887E-2</v>
      </c>
      <c r="R69" s="100">
        <f t="shared" si="10"/>
        <v>-1.3111134949779205E-2</v>
      </c>
      <c r="S69" s="100">
        <f t="shared" si="10"/>
        <v>-1.1933538806621057E-2</v>
      </c>
      <c r="T69" s="100">
        <f t="shared" si="10"/>
        <v>-1.0818251882489915E-2</v>
      </c>
      <c r="U69" s="100">
        <f t="shared" si="10"/>
        <v>-9.4249961124771697E-3</v>
      </c>
      <c r="V69" s="100">
        <f t="shared" si="10"/>
        <v>-7.8468506131838273E-3</v>
      </c>
      <c r="W69" s="100">
        <f t="shared" si="10"/>
        <v>-6.3414986306339315E-3</v>
      </c>
      <c r="X69" s="100">
        <f t="shared" si="10"/>
        <v>-5.0525029993954574E-3</v>
      </c>
      <c r="Y69" s="100">
        <f t="shared" si="10"/>
        <v>-3.4489600059337817E-3</v>
      </c>
      <c r="Z69" s="100">
        <f t="shared" si="10"/>
        <v>-1.8545493977232361E-3</v>
      </c>
      <c r="AA69" s="100">
        <f t="shared" si="10"/>
        <v>-6.5549302863375731E-4</v>
      </c>
      <c r="AB69" s="100">
        <f t="shared" si="10"/>
        <v>9.0864403484603427E-4</v>
      </c>
      <c r="AC69" s="100">
        <f t="shared" si="10"/>
        <v>2.151665516347739E-3</v>
      </c>
      <c r="AD69" s="100">
        <f t="shared" si="10"/>
        <v>3.3570900893212991E-3</v>
      </c>
    </row>
    <row r="70" spans="1:31" ht="30">
      <c r="A70" s="123" t="s">
        <v>292</v>
      </c>
      <c r="B70" s="22"/>
      <c r="C70" s="100">
        <f t="shared" ref="C70:AD70" si="11">(C64-B64)/B64</f>
        <v>1.4404361028541176E-2</v>
      </c>
      <c r="D70" s="100">
        <f t="shared" si="11"/>
        <v>2.2792135941452119E-2</v>
      </c>
      <c r="E70" s="100">
        <f t="shared" si="11"/>
        <v>1.6591516291127668E-2</v>
      </c>
      <c r="F70" s="100">
        <f t="shared" si="11"/>
        <v>8.1446745635494981E-3</v>
      </c>
      <c r="G70" s="100">
        <f t="shared" si="11"/>
        <v>6.4205081393910526E-3</v>
      </c>
      <c r="H70" s="100">
        <f t="shared" si="11"/>
        <v>3.1991059235134118E-3</v>
      </c>
      <c r="I70" s="100">
        <f t="shared" si="11"/>
        <v>1.7708865917188143E-3</v>
      </c>
      <c r="J70" s="100">
        <f t="shared" si="11"/>
        <v>-2.4096428892529185E-4</v>
      </c>
      <c r="K70" s="100">
        <f t="shared" si="11"/>
        <v>-9.8307557979844984E-4</v>
      </c>
      <c r="L70" s="100">
        <f t="shared" si="11"/>
        <v>-9.9658491808900197E-4</v>
      </c>
      <c r="M70" s="100">
        <f t="shared" si="11"/>
        <v>-6.1909259432648559E-3</v>
      </c>
      <c r="N70" s="100">
        <f t="shared" si="11"/>
        <v>-6.7706203793509315E-3</v>
      </c>
      <c r="O70" s="100">
        <f t="shared" si="11"/>
        <v>-7.1985701610151618E-3</v>
      </c>
      <c r="P70" s="100">
        <f t="shared" si="11"/>
        <v>-8.2257531709094989E-3</v>
      </c>
      <c r="Q70" s="100">
        <f t="shared" si="11"/>
        <v>-1.0255447212805448E-2</v>
      </c>
      <c r="R70" s="100">
        <f t="shared" si="11"/>
        <v>-8.6011980312193405E-3</v>
      </c>
      <c r="S70" s="100">
        <f t="shared" si="11"/>
        <v>-6.0334310637544632E-3</v>
      </c>
      <c r="T70" s="100">
        <f t="shared" si="11"/>
        <v>-3.0999626566838158E-3</v>
      </c>
      <c r="U70" s="100">
        <f t="shared" si="11"/>
        <v>-8.2557299773923043E-4</v>
      </c>
      <c r="V70" s="100">
        <f t="shared" si="11"/>
        <v>1.7227614342580911E-4</v>
      </c>
      <c r="W70" s="100">
        <f t="shared" si="11"/>
        <v>2.1822045408465556E-3</v>
      </c>
      <c r="X70" s="100">
        <f t="shared" si="11"/>
        <v>5.1301121003132204E-3</v>
      </c>
      <c r="Y70" s="100">
        <f t="shared" si="11"/>
        <v>7.4381646784798259E-3</v>
      </c>
      <c r="Z70" s="100">
        <f t="shared" si="11"/>
        <v>9.3125260443911867E-3</v>
      </c>
      <c r="AA70" s="100">
        <f t="shared" si="11"/>
        <v>1.1422607097998914E-2</v>
      </c>
      <c r="AB70" s="100">
        <f t="shared" si="11"/>
        <v>1.2622683562945578E-2</v>
      </c>
      <c r="AC70" s="100">
        <f t="shared" si="11"/>
        <v>1.3390909238221581E-2</v>
      </c>
      <c r="AD70" s="100">
        <f t="shared" si="11"/>
        <v>1.4725560132083522E-2</v>
      </c>
    </row>
    <row r="71" spans="1:31" ht="30">
      <c r="A71" s="127" t="s">
        <v>311</v>
      </c>
      <c r="B71" s="22"/>
      <c r="C71" s="104">
        <f>(C65-B65)/B65</f>
        <v>2.7334095165020517E-2</v>
      </c>
      <c r="D71" s="104">
        <f t="shared" ref="D71:AD71" si="12">(D65-C65)/C65</f>
        <v>-6.7761264553932504E-3</v>
      </c>
      <c r="E71" s="104">
        <f t="shared" si="12"/>
        <v>-3.8163376892982838E-3</v>
      </c>
      <c r="F71" s="104">
        <f t="shared" si="12"/>
        <v>-3.2974735379010666E-3</v>
      </c>
      <c r="G71" s="104">
        <f t="shared" si="12"/>
        <v>-3.2891434993711447E-3</v>
      </c>
      <c r="H71" s="104">
        <f t="shared" si="12"/>
        <v>-3.3283461394449381E-3</v>
      </c>
      <c r="I71" s="104">
        <f t="shared" si="12"/>
        <v>-4.1457956515251306E-3</v>
      </c>
      <c r="J71" s="104">
        <f t="shared" si="12"/>
        <v>-3.7430870726240929E-3</v>
      </c>
      <c r="K71" s="104">
        <f t="shared" si="12"/>
        <v>-4.6006446096609243E-3</v>
      </c>
      <c r="L71" s="104">
        <f t="shared" si="12"/>
        <v>-6.2586049573695622E-3</v>
      </c>
      <c r="M71" s="104">
        <f t="shared" si="12"/>
        <v>-9.2280470617959014E-3</v>
      </c>
      <c r="N71" s="104">
        <f t="shared" si="12"/>
        <v>-1.0273666665935077E-2</v>
      </c>
      <c r="O71" s="104">
        <f t="shared" si="12"/>
        <v>-1.1872437729996996E-2</v>
      </c>
      <c r="P71" s="104">
        <f t="shared" si="12"/>
        <v>-1.2877926436761838E-2</v>
      </c>
      <c r="Q71" s="104">
        <f t="shared" si="12"/>
        <v>-1.4139906121465767E-2</v>
      </c>
      <c r="R71" s="104">
        <f t="shared" si="12"/>
        <v>-1.2942763604767338E-2</v>
      </c>
      <c r="S71" s="104">
        <f t="shared" si="12"/>
        <v>-1.1712298776327198E-2</v>
      </c>
      <c r="T71" s="104">
        <f t="shared" si="12"/>
        <v>-1.0527171322092533E-2</v>
      </c>
      <c r="U71" s="104">
        <f t="shared" si="12"/>
        <v>-9.0982509165157509E-3</v>
      </c>
      <c r="V71" s="104">
        <f t="shared" si="12"/>
        <v>-7.5396106626541845E-3</v>
      </c>
      <c r="W71" s="104">
        <f t="shared" si="12"/>
        <v>-6.0123890270624035E-3</v>
      </c>
      <c r="X71" s="104">
        <f t="shared" si="12"/>
        <v>-4.6560996811986994E-3</v>
      </c>
      <c r="Y71" s="104">
        <f t="shared" si="12"/>
        <v>-3.020963449638724E-3</v>
      </c>
      <c r="Z71" s="104">
        <f t="shared" si="12"/>
        <v>-1.4109418766121071E-3</v>
      </c>
      <c r="AA71" s="104">
        <f t="shared" si="12"/>
        <v>-1.7054305927602904E-4</v>
      </c>
      <c r="AB71" s="104">
        <f t="shared" si="12"/>
        <v>1.3844301071112488E-3</v>
      </c>
      <c r="AC71" s="104">
        <f t="shared" si="12"/>
        <v>2.6132901177534388E-3</v>
      </c>
      <c r="AD71" s="104">
        <f t="shared" si="12"/>
        <v>3.829041648716152E-3</v>
      </c>
    </row>
    <row r="72" spans="1:31" ht="30">
      <c r="A72" s="123" t="s">
        <v>294</v>
      </c>
      <c r="B72" s="22"/>
      <c r="C72" s="100">
        <f t="shared" ref="C72" si="13">(C66-B66)/B66</f>
        <v>7.5120574261212769E-2</v>
      </c>
      <c r="D72" s="100">
        <f>(D66-C66)/C66</f>
        <v>8.30798165446439E-2</v>
      </c>
      <c r="E72" s="100">
        <f t="shared" ref="E72:AD72" si="14">(E66-D66)/D66</f>
        <v>4.7823014291391346E-2</v>
      </c>
      <c r="F72" s="100">
        <f t="shared" si="14"/>
        <v>2.0481748978886227E-2</v>
      </c>
      <c r="G72" s="100">
        <f t="shared" si="14"/>
        <v>1.4213457337988252E-2</v>
      </c>
      <c r="H72" s="100">
        <f t="shared" si="14"/>
        <v>1.1252191397297332E-2</v>
      </c>
      <c r="I72" s="100">
        <f t="shared" si="14"/>
        <v>8.2167107350129536E-3</v>
      </c>
      <c r="J72" s="100">
        <f t="shared" si="14"/>
        <v>4.0656172724367057E-3</v>
      </c>
      <c r="K72" s="100">
        <f t="shared" si="14"/>
        <v>3.9777959312625516E-3</v>
      </c>
      <c r="L72" s="100">
        <f t="shared" si="14"/>
        <v>6.0244317515038984E-3</v>
      </c>
      <c r="M72" s="100">
        <f t="shared" si="14"/>
        <v>2.9900434770912788E-3</v>
      </c>
      <c r="N72" s="100">
        <f t="shared" si="14"/>
        <v>2.4445498875682913E-3</v>
      </c>
      <c r="O72" s="100">
        <f t="shared" si="14"/>
        <v>3.1128092093876507E-3</v>
      </c>
      <c r="P72" s="100">
        <f t="shared" si="14"/>
        <v>3.0182410540537108E-3</v>
      </c>
      <c r="Q72" s="100">
        <f t="shared" si="14"/>
        <v>2.6262404596641585E-3</v>
      </c>
      <c r="R72" s="100">
        <f t="shared" si="14"/>
        <v>2.967617195671797E-3</v>
      </c>
      <c r="S72" s="100">
        <f t="shared" si="14"/>
        <v>5.2169297988594182E-3</v>
      </c>
      <c r="T72" s="100">
        <f t="shared" si="14"/>
        <v>8.2300576221834756E-3</v>
      </c>
      <c r="U72" s="100">
        <f t="shared" si="14"/>
        <v>1.0140100202227272E-2</v>
      </c>
      <c r="V72" s="100">
        <f t="shared" si="14"/>
        <v>1.01588320967628E-2</v>
      </c>
      <c r="W72" s="100">
        <f t="shared" si="14"/>
        <v>1.2594917087213074E-2</v>
      </c>
      <c r="X72" s="100">
        <f t="shared" si="14"/>
        <v>1.5831401440902605E-2</v>
      </c>
      <c r="Y72" s="100">
        <f t="shared" si="14"/>
        <v>1.7048089592872091E-2</v>
      </c>
      <c r="Z72" s="100">
        <f t="shared" si="14"/>
        <v>1.7762570423276617E-2</v>
      </c>
      <c r="AA72" s="100">
        <f t="shared" si="14"/>
        <v>1.9743905827164836E-2</v>
      </c>
      <c r="AB72" s="100">
        <f t="shared" si="14"/>
        <v>2.0480908595592848E-2</v>
      </c>
      <c r="AC72" s="100">
        <f t="shared" si="14"/>
        <v>2.1117377350961267E-2</v>
      </c>
      <c r="AD72" s="100">
        <f t="shared" si="14"/>
        <v>2.1343994875386525E-2</v>
      </c>
    </row>
    <row r="73" spans="1:31" s="1" customFormat="1">
      <c r="A73" s="91" t="s">
        <v>133</v>
      </c>
      <c r="B73" s="22"/>
      <c r="C73" s="104">
        <f>(C67-B67)/B67</f>
        <v>3.7554991764666604E-2</v>
      </c>
      <c r="D73" s="104">
        <f t="shared" ref="D73:AD73" si="15">(D67-C67)/C67</f>
        <v>1.3138713328940442E-2</v>
      </c>
      <c r="E73" s="104">
        <f t="shared" si="15"/>
        <v>8.4186164654053743E-3</v>
      </c>
      <c r="F73" s="104">
        <f t="shared" si="15"/>
        <v>2.5567094313048173E-3</v>
      </c>
      <c r="G73" s="104">
        <f t="shared" si="15"/>
        <v>1.0968453539802619E-3</v>
      </c>
      <c r="H73" s="104">
        <f t="shared" si="15"/>
        <v>3.7327312278227467E-4</v>
      </c>
      <c r="I73" s="104">
        <f t="shared" si="15"/>
        <v>-9.7314586079718735E-4</v>
      </c>
      <c r="J73" s="104">
        <f t="shared" si="15"/>
        <v>-1.7206672398176631E-3</v>
      </c>
      <c r="K73" s="104">
        <f t="shared" si="15"/>
        <v>-2.3659885131110808E-3</v>
      </c>
      <c r="L73" s="104">
        <f t="shared" si="15"/>
        <v>-3.0385672139624691E-3</v>
      </c>
      <c r="M73" s="104">
        <f t="shared" si="15"/>
        <v>-5.9959177980314316E-3</v>
      </c>
      <c r="N73" s="104">
        <f t="shared" si="15"/>
        <v>-6.87882087337974E-3</v>
      </c>
      <c r="O73" s="104">
        <f t="shared" si="15"/>
        <v>-7.8349068628910667E-3</v>
      </c>
      <c r="P73" s="104">
        <f t="shared" si="15"/>
        <v>-8.5477039158528053E-3</v>
      </c>
      <c r="Q73" s="104">
        <f t="shared" si="15"/>
        <v>-9.5194159432415177E-3</v>
      </c>
      <c r="R73" s="104">
        <f t="shared" si="15"/>
        <v>-8.5043428844466737E-3</v>
      </c>
      <c r="S73" s="104">
        <f t="shared" si="15"/>
        <v>-6.9350137164412512E-3</v>
      </c>
      <c r="T73" s="104">
        <f t="shared" si="15"/>
        <v>-5.1692690049383464E-3</v>
      </c>
      <c r="U73" s="104">
        <f t="shared" si="15"/>
        <v>-3.5289022557003879E-3</v>
      </c>
      <c r="V73" s="104">
        <f t="shared" si="15"/>
        <v>-2.3457712077150279E-3</v>
      </c>
      <c r="W73" s="104">
        <f t="shared" si="15"/>
        <v>-4.8338908267273636E-4</v>
      </c>
      <c r="X73" s="104">
        <f t="shared" si="15"/>
        <v>1.5112390291282395E-3</v>
      </c>
      <c r="Y73" s="104">
        <f t="shared" si="15"/>
        <v>3.1067930216115451E-3</v>
      </c>
      <c r="Z73" s="104">
        <f t="shared" si="15"/>
        <v>4.5247399035705099E-3</v>
      </c>
      <c r="AA73" s="104">
        <f t="shared" si="15"/>
        <v>6.0757601707771107E-3</v>
      </c>
      <c r="AB73" s="104">
        <f t="shared" si="15"/>
        <v>7.4555455668877755E-3</v>
      </c>
      <c r="AC73" s="104">
        <f t="shared" si="15"/>
        <v>8.5721320322005527E-3</v>
      </c>
      <c r="AD73" s="104">
        <f t="shared" si="15"/>
        <v>9.5395120099601941E-3</v>
      </c>
    </row>
    <row r="74" spans="1:31" s="41" customFormat="1">
      <c r="A74" s="118" t="s">
        <v>300</v>
      </c>
      <c r="B74" s="109"/>
    </row>
    <row r="75" spans="1:31" s="128" customFormat="1" ht="30">
      <c r="A75" s="137" t="s">
        <v>26</v>
      </c>
      <c r="B75" s="133"/>
      <c r="C75" s="134">
        <f>B39</f>
        <v>14279998</v>
      </c>
      <c r="D75" s="133">
        <f t="shared" ref="D75:D79" si="16">C75*(1+D$73)</f>
        <v>14467618.800059844</v>
      </c>
      <c r="E75" s="133">
        <f t="shared" ref="E75:AD75" si="17">D75*(1+E$73)</f>
        <v>14589416.133905238</v>
      </c>
      <c r="F75" s="133">
        <f t="shared" si="17"/>
        <v>14626717.031732025</v>
      </c>
      <c r="G75" s="133">
        <f t="shared" si="17"/>
        <v>14642760.278352266</v>
      </c>
      <c r="H75" s="133">
        <f t="shared" si="17"/>
        <v>14648226.02720752</v>
      </c>
      <c r="I75" s="133">
        <f t="shared" si="17"/>
        <v>14633971.16668112</v>
      </c>
      <c r="J75" s="133">
        <f t="shared" si="17"/>
        <v>14608790.971906176</v>
      </c>
      <c r="K75" s="133">
        <f t="shared" si="17"/>
        <v>14574226.740276204</v>
      </c>
      <c r="L75" s="133">
        <f t="shared" si="17"/>
        <v>14529941.972734347</v>
      </c>
      <c r="M75" s="133">
        <f t="shared" si="17"/>
        <v>14442821.635055665</v>
      </c>
      <c r="N75" s="133">
        <f t="shared" si="17"/>
        <v>14343472.052121943</v>
      </c>
      <c r="O75" s="133">
        <f t="shared" si="17"/>
        <v>14231092.284503086</v>
      </c>
      <c r="P75" s="133">
        <f t="shared" si="17"/>
        <v>14109449.121255975</v>
      </c>
      <c r="Q75" s="133">
        <f t="shared" si="17"/>
        <v>13975135.406340735</v>
      </c>
      <c r="R75" s="133">
        <f t="shared" si="17"/>
        <v>13856286.062988643</v>
      </c>
      <c r="S75" s="133">
        <f t="shared" si="17"/>
        <v>13760192.529082883</v>
      </c>
      <c r="T75" s="133">
        <f t="shared" si="17"/>
        <v>13689062.392340312</v>
      </c>
      <c r="U75" s="133">
        <f t="shared" si="17"/>
        <v>13640755.02918556</v>
      </c>
      <c r="V75" s="133">
        <f t="shared" si="17"/>
        <v>13608756.938786602</v>
      </c>
      <c r="W75" s="133">
        <f t="shared" si="17"/>
        <v>13602178.614253646</v>
      </c>
      <c r="X75" s="133">
        <f t="shared" si="17"/>
        <v>13622734.757456681</v>
      </c>
      <c r="Y75" s="133">
        <f t="shared" si="17"/>
        <v>13665057.774736412</v>
      </c>
      <c r="Z75" s="133">
        <f t="shared" si="17"/>
        <v>13726888.606934359</v>
      </c>
      <c r="AA75" s="133">
        <f t="shared" si="17"/>
        <v>13810289.890001064</v>
      </c>
      <c r="AB75" s="133">
        <f t="shared" si="17"/>
        <v>13913253.135567898</v>
      </c>
      <c r="AC75" s="133">
        <f t="shared" si="17"/>
        <v>14032519.378443414</v>
      </c>
      <c r="AD75" s="133">
        <f t="shared" si="17"/>
        <v>14166382.765584074</v>
      </c>
      <c r="AE75" s="133">
        <f>SUM(I75:AD75)</f>
        <v>308543259.22623676</v>
      </c>
    </row>
    <row r="76" spans="1:31" s="128" customFormat="1">
      <c r="A76" s="137" t="s">
        <v>27</v>
      </c>
      <c r="B76" s="133"/>
      <c r="C76" s="134">
        <f>C39</f>
        <v>6245525</v>
      </c>
      <c r="D76" s="133">
        <f t="shared" si="16"/>
        <v>6327583.162563731</v>
      </c>
      <c r="E76" s="133">
        <f t="shared" ref="E76:AD76" si="18">D76*(1+E$73)</f>
        <v>6380852.6583623122</v>
      </c>
      <c r="F76" s="133">
        <f t="shared" si="18"/>
        <v>6397166.6445337133</v>
      </c>
      <c r="G76" s="133">
        <f t="shared" si="18"/>
        <v>6404183.3470464079</v>
      </c>
      <c r="H76" s="133">
        <f t="shared" si="18"/>
        <v>6406573.856563231</v>
      </c>
      <c r="I76" s="133">
        <f t="shared" si="18"/>
        <v>6400339.3257328244</v>
      </c>
      <c r="J76" s="133">
        <f t="shared" si="18"/>
        <v>6389326.4715313194</v>
      </c>
      <c r="K76" s="133">
        <f t="shared" si="18"/>
        <v>6374209.3984931596</v>
      </c>
      <c r="L76" s="133">
        <f t="shared" si="18"/>
        <v>6354840.9347999673</v>
      </c>
      <c r="M76" s="133">
        <f t="shared" si="18"/>
        <v>6316737.8309353413</v>
      </c>
      <c r="N76" s="133">
        <f t="shared" si="18"/>
        <v>6273286.1228922354</v>
      </c>
      <c r="O76" s="133">
        <f t="shared" si="18"/>
        <v>6224135.5103951078</v>
      </c>
      <c r="P76" s="133">
        <f t="shared" si="18"/>
        <v>6170933.4429201046</v>
      </c>
      <c r="Q76" s="133">
        <f t="shared" si="18"/>
        <v>6112189.7607188886</v>
      </c>
      <c r="R76" s="133">
        <f t="shared" si="18"/>
        <v>6060209.6032189308</v>
      </c>
      <c r="S76" s="133">
        <f t="shared" si="18"/>
        <v>6018181.9664960988</v>
      </c>
      <c r="T76" s="133">
        <f t="shared" si="18"/>
        <v>5987072.3649906116</v>
      </c>
      <c r="U76" s="133">
        <f t="shared" si="18"/>
        <v>5965944.5718167545</v>
      </c>
      <c r="V76" s="133">
        <f t="shared" si="18"/>
        <v>5951949.8308133632</v>
      </c>
      <c r="W76" s="133">
        <f t="shared" si="18"/>
        <v>5949072.723244532</v>
      </c>
      <c r="X76" s="133">
        <f t="shared" si="18"/>
        <v>5958063.1941310214</v>
      </c>
      <c r="Y76" s="133">
        <f t="shared" si="18"/>
        <v>5976573.663284868</v>
      </c>
      <c r="Z76" s="133">
        <f t="shared" si="18"/>
        <v>6003616.1046257624</v>
      </c>
      <c r="AA76" s="133">
        <f t="shared" si="18"/>
        <v>6040092.6362348832</v>
      </c>
      <c r="AB76" s="133">
        <f t="shared" si="18"/>
        <v>6085124.8221125565</v>
      </c>
      <c r="AC76" s="133">
        <f t="shared" si="18"/>
        <v>6137287.3155201264</v>
      </c>
      <c r="AD76" s="133">
        <f t="shared" si="18"/>
        <v>6195834.0415751068</v>
      </c>
      <c r="AE76" s="133">
        <f t="shared" ref="AE76:AE81" si="19">SUM(I76:AD76)</f>
        <v>134945021.63648355</v>
      </c>
    </row>
    <row r="77" spans="1:31" s="128" customFormat="1" ht="30">
      <c r="A77" s="137" t="s">
        <v>31</v>
      </c>
      <c r="B77" s="133"/>
      <c r="C77" s="134">
        <f>D39</f>
        <v>12382916.134200001</v>
      </c>
      <c r="D77" s="133">
        <f t="shared" si="16"/>
        <v>12545611.719463566</v>
      </c>
      <c r="E77" s="133">
        <f t="shared" ref="E77:AD77" si="20">D77*(1+E$73)</f>
        <v>12651228.412853625</v>
      </c>
      <c r="F77" s="133">
        <f t="shared" si="20"/>
        <v>12683573.927854359</v>
      </c>
      <c r="G77" s="133">
        <f t="shared" si="20"/>
        <v>12697485.846988993</v>
      </c>
      <c r="H77" s="133">
        <f t="shared" si="20"/>
        <v>12702225.477182584</v>
      </c>
      <c r="I77" s="133">
        <f t="shared" si="20"/>
        <v>12689864.35903655</v>
      </c>
      <c r="J77" s="133">
        <f t="shared" si="20"/>
        <v>12668029.325156225</v>
      </c>
      <c r="K77" s="133">
        <f t="shared" si="20"/>
        <v>12638056.91328915</v>
      </c>
      <c r="L77" s="133">
        <f t="shared" si="20"/>
        <v>12599655.327904237</v>
      </c>
      <c r="M77" s="133">
        <f t="shared" si="20"/>
        <v>12524108.830274595</v>
      </c>
      <c r="N77" s="133">
        <f t="shared" si="20"/>
        <v>12437957.729032421</v>
      </c>
      <c r="O77" s="133">
        <f t="shared" si="20"/>
        <v>12340507.488660876</v>
      </c>
      <c r="P77" s="133">
        <f t="shared" si="20"/>
        <v>12235024.484476438</v>
      </c>
      <c r="Q77" s="133">
        <f t="shared" si="20"/>
        <v>12118554.197332961</v>
      </c>
      <c r="R77" s="133">
        <f t="shared" si="20"/>
        <v>12015493.857175091</v>
      </c>
      <c r="S77" s="133">
        <f t="shared" si="20"/>
        <v>11932166.242465766</v>
      </c>
      <c r="T77" s="133">
        <f t="shared" si="20"/>
        <v>11870485.665346816</v>
      </c>
      <c r="U77" s="133">
        <f t="shared" si="20"/>
        <v>11828595.881706115</v>
      </c>
      <c r="V77" s="133">
        <f t="shared" si="20"/>
        <v>11800848.702059112</v>
      </c>
      <c r="W77" s="133">
        <f t="shared" si="20"/>
        <v>11795144.300630264</v>
      </c>
      <c r="X77" s="133">
        <f t="shared" si="20"/>
        <v>11812969.583051577</v>
      </c>
      <c r="Y77" s="133">
        <f t="shared" si="20"/>
        <v>11849670.034516711</v>
      </c>
      <c r="Z77" s="133">
        <f t="shared" si="20"/>
        <v>11903286.709366033</v>
      </c>
      <c r="AA77" s="133">
        <f t="shared" si="20"/>
        <v>11975608.224656139</v>
      </c>
      <c r="AB77" s="133">
        <f t="shared" si="20"/>
        <v>12064892.91746626</v>
      </c>
      <c r="AC77" s="133">
        <f t="shared" si="20"/>
        <v>12168314.772509143</v>
      </c>
      <c r="AD77" s="133">
        <f t="shared" si="20"/>
        <v>12284394.55742247</v>
      </c>
      <c r="AE77" s="133">
        <f t="shared" si="19"/>
        <v>267553630.10353494</v>
      </c>
    </row>
    <row r="78" spans="1:31" s="128" customFormat="1" ht="30">
      <c r="A78" s="137" t="s">
        <v>71</v>
      </c>
      <c r="B78" s="133"/>
      <c r="C78" s="134">
        <f>E39</f>
        <v>8395828</v>
      </c>
      <c r="D78" s="133">
        <f t="shared" si="16"/>
        <v>8506138.3772510923</v>
      </c>
      <c r="E78" s="133">
        <f t="shared" ref="E78:AD78" si="21">D78*(1+E$73)</f>
        <v>8577748.2938508354</v>
      </c>
      <c r="F78" s="133">
        <f t="shared" si="21"/>
        <v>8599679.103813082</v>
      </c>
      <c r="G78" s="133">
        <f t="shared" si="21"/>
        <v>8609111.6218838207</v>
      </c>
      <c r="H78" s="133">
        <f t="shared" si="21"/>
        <v>8612325.1718633026</v>
      </c>
      <c r="I78" s="133">
        <f t="shared" si="21"/>
        <v>8603944.1232704632</v>
      </c>
      <c r="J78" s="133">
        <f t="shared" si="21"/>
        <v>8589139.5984843299</v>
      </c>
      <c r="K78" s="133">
        <f t="shared" si="21"/>
        <v>8568817.7928568088</v>
      </c>
      <c r="L78" s="133">
        <f t="shared" si="21"/>
        <v>8542780.8640490156</v>
      </c>
      <c r="M78" s="133">
        <f t="shared" si="21"/>
        <v>8491559.0522215813</v>
      </c>
      <c r="N78" s="133">
        <f t="shared" si="21"/>
        <v>8433147.1385656223</v>
      </c>
      <c r="O78" s="133">
        <f t="shared" si="21"/>
        <v>8367074.216173904</v>
      </c>
      <c r="P78" s="133">
        <f t="shared" si="21"/>
        <v>8295554.9431320829</v>
      </c>
      <c r="Q78" s="133">
        <f t="shared" si="21"/>
        <v>8216586.1051483946</v>
      </c>
      <c r="R78" s="133">
        <f t="shared" si="21"/>
        <v>8146709.4395706328</v>
      </c>
      <c r="S78" s="133">
        <f t="shared" si="21"/>
        <v>8090211.8978633489</v>
      </c>
      <c r="T78" s="133">
        <f t="shared" si="21"/>
        <v>8048391.4162563412</v>
      </c>
      <c r="U78" s="133">
        <f t="shared" si="21"/>
        <v>8019989.429632755</v>
      </c>
      <c r="V78" s="133">
        <f t="shared" si="21"/>
        <v>8001176.3693425432</v>
      </c>
      <c r="W78" s="133">
        <f t="shared" si="21"/>
        <v>7997308.6880370639</v>
      </c>
      <c r="X78" s="133">
        <f t="shared" si="21"/>
        <v>8009394.5330544123</v>
      </c>
      <c r="Y78" s="133">
        <f t="shared" si="21"/>
        <v>8034278.0640970394</v>
      </c>
      <c r="Z78" s="133">
        <f t="shared" si="21"/>
        <v>8070631.0826500412</v>
      </c>
      <c r="AA78" s="133">
        <f t="shared" si="21"/>
        <v>8119666.301535042</v>
      </c>
      <c r="AB78" s="133">
        <f t="shared" si="21"/>
        <v>8180202.8436340606</v>
      </c>
      <c r="AC78" s="133">
        <f t="shared" si="21"/>
        <v>8250324.6224598736</v>
      </c>
      <c r="AD78" s="133">
        <f t="shared" si="21"/>
        <v>8329028.6932818992</v>
      </c>
      <c r="AE78" s="133">
        <f t="shared" si="19"/>
        <v>181405917.21531725</v>
      </c>
    </row>
    <row r="79" spans="1:31" s="128" customFormat="1" ht="30">
      <c r="A79" s="137" t="s">
        <v>74</v>
      </c>
      <c r="B79" s="133"/>
      <c r="C79" s="134">
        <f>F39</f>
        <v>47200371</v>
      </c>
      <c r="D79" s="133">
        <f t="shared" si="16"/>
        <v>47820523.143588632</v>
      </c>
      <c r="E79" s="133">
        <f t="shared" ref="E79:AD79" si="22">D79*(1+E$73)</f>
        <v>48223105.787109546</v>
      </c>
      <c r="F79" s="133">
        <f t="shared" si="22"/>
        <v>48346398.256482258</v>
      </c>
      <c r="G79" s="133">
        <f t="shared" si="22"/>
        <v>48399426.778791562</v>
      </c>
      <c r="H79" s="133">
        <f t="shared" si="22"/>
        <v>48417492.983966157</v>
      </c>
      <c r="I79" s="133">
        <f t="shared" si="22"/>
        <v>48370375.701078631</v>
      </c>
      <c r="J79" s="133">
        <f t="shared" si="22"/>
        <v>48287146.380232111</v>
      </c>
      <c r="K79" s="133">
        <f t="shared" si="22"/>
        <v>48172899.54656557</v>
      </c>
      <c r="L79" s="133">
        <f t="shared" si="22"/>
        <v>48026522.953401871</v>
      </c>
      <c r="M79" s="133">
        <f t="shared" si="22"/>
        <v>47738559.869648002</v>
      </c>
      <c r="N79" s="133">
        <f t="shared" si="22"/>
        <v>47410174.86755158</v>
      </c>
      <c r="O79" s="133">
        <f t="shared" si="22"/>
        <v>47038720.563110933</v>
      </c>
      <c r="P79" s="133">
        <f t="shared" si="22"/>
        <v>46636647.507156923</v>
      </c>
      <c r="Q79" s="133">
        <f t="shared" si="22"/>
        <v>46192693.86133796</v>
      </c>
      <c r="R79" s="133">
        <f t="shared" si="22"/>
        <v>45799855.35398487</v>
      </c>
      <c r="S79" s="133">
        <f t="shared" si="22"/>
        <v>45482232.728893958</v>
      </c>
      <c r="T79" s="133">
        <f t="shared" si="22"/>
        <v>45247122.832973093</v>
      </c>
      <c r="U79" s="133">
        <f t="shared" si="22"/>
        <v>45087450.159143865</v>
      </c>
      <c r="V79" s="133">
        <f t="shared" si="22"/>
        <v>44981685.316731259</v>
      </c>
      <c r="W79" s="133">
        <f t="shared" si="22"/>
        <v>44959941.661128931</v>
      </c>
      <c r="X79" s="133">
        <f t="shared" si="22"/>
        <v>45027886.879714563</v>
      </c>
      <c r="Y79" s="133">
        <f t="shared" si="22"/>
        <v>45167779.204450376</v>
      </c>
      <c r="Z79" s="133">
        <f t="shared" si="22"/>
        <v>45372151.657372423</v>
      </c>
      <c r="AA79" s="133">
        <f t="shared" si="22"/>
        <v>45647821.969274744</v>
      </c>
      <c r="AB79" s="133">
        <f t="shared" si="22"/>
        <v>45988151.385995857</v>
      </c>
      <c r="AC79" s="133">
        <f t="shared" si="22"/>
        <v>46382367.891593441</v>
      </c>
      <c r="AD79" s="133">
        <f t="shared" si="22"/>
        <v>46824833.047145687</v>
      </c>
      <c r="AE79" s="133">
        <f t="shared" si="19"/>
        <v>1019843021.3384868</v>
      </c>
    </row>
    <row r="80" spans="1:31" s="128" customFormat="1" ht="60">
      <c r="A80" s="137" t="s">
        <v>310</v>
      </c>
      <c r="B80" s="133"/>
      <c r="C80" s="134">
        <f>G39</f>
        <v>35531744</v>
      </c>
      <c r="D80" s="133">
        <f>C80*(1+D$71)</f>
        <v>35290976.409475341</v>
      </c>
      <c r="E80" s="133">
        <f t="shared" ref="E80:AD80" si="23">D80*(1+E$71)</f>
        <v>35156294.126111723</v>
      </c>
      <c r="F80" s="133">
        <f t="shared" si="23"/>
        <v>35040367.176540203</v>
      </c>
      <c r="G80" s="133">
        <f t="shared" si="23"/>
        <v>34925114.380625911</v>
      </c>
      <c r="H80" s="133">
        <f t="shared" si="23"/>
        <v>34808871.51100748</v>
      </c>
      <c r="I80" s="133">
        <f t="shared" si="23"/>
        <v>34664561.042862646</v>
      </c>
      <c r="J80" s="133">
        <f t="shared" si="23"/>
        <v>34534808.572544917</v>
      </c>
      <c r="K80" s="133">
        <f t="shared" si="23"/>
        <v>34375926.191639967</v>
      </c>
      <c r="L80" s="133">
        <f t="shared" si="23"/>
        <v>34160780.849562801</v>
      </c>
      <c r="M80" s="133">
        <f t="shared" si="23"/>
        <v>33845543.556215338</v>
      </c>
      <c r="N80" s="133">
        <f t="shared" si="23"/>
        <v>33497825.723591395</v>
      </c>
      <c r="O80" s="133">
        <f t="shared" si="23"/>
        <v>33100124.873597763</v>
      </c>
      <c r="P80" s="133">
        <f t="shared" si="23"/>
        <v>32673863.900427938</v>
      </c>
      <c r="Q80" s="133">
        <f t="shared" si="23"/>
        <v>32211858.532250337</v>
      </c>
      <c r="R80" s="133">
        <f t="shared" si="23"/>
        <v>31794948.061997212</v>
      </c>
      <c r="S80" s="133">
        <f t="shared" si="23"/>
        <v>31422556.130717296</v>
      </c>
      <c r="T80" s="133">
        <f t="shared" si="23"/>
        <v>31091765.498951163</v>
      </c>
      <c r="U80" s="133">
        <f t="shared" si="23"/>
        <v>30808884.815004237</v>
      </c>
      <c r="V80" s="133">
        <f t="shared" si="23"/>
        <v>30576597.818548545</v>
      </c>
      <c r="W80" s="133">
        <f t="shared" si="23"/>
        <v>30392759.417339407</v>
      </c>
      <c r="X80" s="133">
        <f t="shared" si="23"/>
        <v>30251247.699905582</v>
      </c>
      <c r="Y80" s="133">
        <f t="shared" si="23"/>
        <v>30159859.786298197</v>
      </c>
      <c r="Z80" s="133">
        <f t="shared" si="23"/>
        <v>30117305.977132961</v>
      </c>
      <c r="AA80" s="133">
        <f t="shared" si="23"/>
        <v>30112169.67963447</v>
      </c>
      <c r="AB80" s="133">
        <f t="shared" si="23"/>
        <v>30153857.8739294</v>
      </c>
      <c r="AC80" s="133">
        <f t="shared" si="23"/>
        <v>30232658.65272348</v>
      </c>
      <c r="AD80" s="133">
        <f t="shared" si="23"/>
        <v>30348420.761856176</v>
      </c>
      <c r="AE80" s="133">
        <f t="shared" si="19"/>
        <v>700528325.41673112</v>
      </c>
    </row>
    <row r="81" spans="1:31" s="128" customFormat="1">
      <c r="A81" s="120" t="s">
        <v>133</v>
      </c>
      <c r="B81" s="135"/>
      <c r="C81" s="144">
        <f>SUM(C75:C80)</f>
        <v>124036382.13420001</v>
      </c>
      <c r="D81" s="144">
        <f t="shared" ref="D81:AD81" si="24">SUM(D75:D80)</f>
        <v>124958451.6124022</v>
      </c>
      <c r="E81" s="144">
        <f t="shared" si="24"/>
        <v>125578645.41219327</v>
      </c>
      <c r="F81" s="144">
        <f t="shared" si="24"/>
        <v>125693902.14095563</v>
      </c>
      <c r="G81" s="144">
        <f t="shared" si="24"/>
        <v>125678082.25368896</v>
      </c>
      <c r="H81" s="144">
        <f t="shared" si="24"/>
        <v>125595715.02779028</v>
      </c>
      <c r="I81" s="144">
        <f t="shared" si="24"/>
        <v>125363055.71866223</v>
      </c>
      <c r="J81" s="144">
        <f t="shared" si="24"/>
        <v>125077241.31985508</v>
      </c>
      <c r="K81" s="144">
        <f t="shared" si="24"/>
        <v>124704136.58312085</v>
      </c>
      <c r="L81" s="144">
        <f t="shared" si="24"/>
        <v>124214522.90245223</v>
      </c>
      <c r="M81" s="144">
        <f t="shared" si="24"/>
        <v>123359330.77435052</v>
      </c>
      <c r="N81" s="144">
        <f t="shared" si="24"/>
        <v>122395863.63375521</v>
      </c>
      <c r="O81" s="144">
        <f t="shared" si="24"/>
        <v>121301654.93644166</v>
      </c>
      <c r="P81" s="144">
        <f t="shared" si="24"/>
        <v>120121473.39936945</v>
      </c>
      <c r="Q81" s="144">
        <f t="shared" si="24"/>
        <v>118827017.86312929</v>
      </c>
      <c r="R81" s="144">
        <f t="shared" si="24"/>
        <v>117673502.37893537</v>
      </c>
      <c r="S81" s="144">
        <f t="shared" si="24"/>
        <v>116705541.49551935</v>
      </c>
      <c r="T81" s="144">
        <f t="shared" si="24"/>
        <v>115933900.17085834</v>
      </c>
      <c r="U81" s="144">
        <f t="shared" si="24"/>
        <v>115351619.88648927</v>
      </c>
      <c r="V81" s="144">
        <f t="shared" si="24"/>
        <v>114921014.97628142</v>
      </c>
      <c r="W81" s="144">
        <f t="shared" si="24"/>
        <v>114696405.40463385</v>
      </c>
      <c r="X81" s="144">
        <f t="shared" si="24"/>
        <v>114682296.64731383</v>
      </c>
      <c r="Y81" s="144">
        <f t="shared" si="24"/>
        <v>114853218.52738361</v>
      </c>
      <c r="Z81" s="144">
        <f t="shared" si="24"/>
        <v>115193880.13808158</v>
      </c>
      <c r="AA81" s="144">
        <f t="shared" si="24"/>
        <v>115705648.70133634</v>
      </c>
      <c r="AB81" s="144">
        <f t="shared" si="24"/>
        <v>116385482.97870603</v>
      </c>
      <c r="AC81" s="144">
        <f t="shared" si="24"/>
        <v>117203472.63324948</v>
      </c>
      <c r="AD81" s="144">
        <f t="shared" si="24"/>
        <v>118148893.8668654</v>
      </c>
      <c r="AE81" s="135">
        <f t="shared" si="19"/>
        <v>2612819174.9367905</v>
      </c>
    </row>
    <row r="82" spans="1:31">
      <c r="A82" s="101" t="s">
        <v>302</v>
      </c>
      <c r="B82" s="136">
        <f>((AD81/I81)^(1/(AD46-I46)))-1</f>
        <v>-2.8183225663636069E-3</v>
      </c>
      <c r="C82" s="22"/>
      <c r="D82" s="22"/>
      <c r="E82" s="22"/>
      <c r="F82" s="22"/>
      <c r="G82" s="22"/>
    </row>
    <row r="83" spans="1:31">
      <c r="A83" s="1"/>
      <c r="B83" s="22"/>
      <c r="C83" s="22"/>
      <c r="D83" s="22"/>
      <c r="E83" s="22"/>
      <c r="F83" s="22"/>
      <c r="G83" s="22"/>
    </row>
    <row r="84" spans="1:31">
      <c r="A84" s="111" t="s">
        <v>79</v>
      </c>
      <c r="B84">
        <v>1000000</v>
      </c>
      <c r="C84" s="23"/>
      <c r="D84" s="23"/>
      <c r="E84" s="23"/>
      <c r="F84" s="23"/>
      <c r="G84" s="23"/>
      <c r="H84" s="23"/>
      <c r="I84" s="23"/>
      <c r="J84" s="23"/>
    </row>
    <row r="85" spans="1:31">
      <c r="A85" s="12"/>
      <c r="B85" s="4" t="s">
        <v>4</v>
      </c>
      <c r="C85" s="4" t="s">
        <v>5</v>
      </c>
      <c r="D85" s="4" t="s">
        <v>6</v>
      </c>
      <c r="E85" s="4" t="s">
        <v>7</v>
      </c>
      <c r="F85" s="4" t="s">
        <v>18</v>
      </c>
      <c r="G85" s="23"/>
      <c r="H85" s="23"/>
      <c r="I85" s="23"/>
      <c r="J85" s="23"/>
    </row>
    <row r="86" spans="1:31" ht="30">
      <c r="A86" s="12" t="s">
        <v>26</v>
      </c>
      <c r="B86" s="27">
        <f>SUM(I75:J75)/B84</f>
        <v>29.242762138587295</v>
      </c>
      <c r="C86" s="27">
        <f>SUM(K75:O75)/B84</f>
        <v>72.121554684691233</v>
      </c>
      <c r="D86" s="27">
        <f>SUM(P75:T75)/B84</f>
        <v>69.390125512008552</v>
      </c>
      <c r="E86" s="27">
        <f>SUM(U75:AD75)/B84</f>
        <v>137.7888168909497</v>
      </c>
      <c r="F86" s="143">
        <f>SUM(B86:E86)</f>
        <v>308.54325922623678</v>
      </c>
    </row>
    <row r="87" spans="1:31">
      <c r="A87" s="12" t="s">
        <v>27</v>
      </c>
      <c r="B87" s="27">
        <f>SUM(I76:J76)/B84</f>
        <v>12.789665797264144</v>
      </c>
      <c r="C87" s="27">
        <f>SUM(K76:O76)/B84</f>
        <v>31.543209797515811</v>
      </c>
      <c r="D87" s="27">
        <f>SUM(P76:T76)/B84</f>
        <v>30.348587138344634</v>
      </c>
      <c r="E87" s="27">
        <f>SUM(U76:AD76)/B84</f>
        <v>60.26355890335897</v>
      </c>
      <c r="F87" s="143">
        <f t="shared" ref="F87:F91" si="25">SUM(B87:E87)</f>
        <v>134.94502163648355</v>
      </c>
    </row>
    <row r="88" spans="1:31" ht="30">
      <c r="A88" s="12" t="s">
        <v>31</v>
      </c>
      <c r="B88" s="27">
        <f>SUM(I77:J77)/B84</f>
        <v>25.357893684192778</v>
      </c>
      <c r="C88" s="27">
        <f>SUM(K77:O77)/B84</f>
        <v>62.54028628916128</v>
      </c>
      <c r="D88" s="27">
        <f>SUM(P77:T77)/B84</f>
        <v>60.171724446797072</v>
      </c>
      <c r="E88" s="27">
        <f>SUM(U77:AD77)/B84</f>
        <v>119.48372568338382</v>
      </c>
      <c r="F88" s="143">
        <f t="shared" si="25"/>
        <v>267.55363010353494</v>
      </c>
    </row>
    <row r="89" spans="1:31" ht="30">
      <c r="A89" s="12" t="s">
        <v>71</v>
      </c>
      <c r="B89" s="27">
        <f>SUM(I78:J78)/B84</f>
        <v>17.193083721754792</v>
      </c>
      <c r="C89" s="27">
        <f>SUM(K78:O78)/B84</f>
        <v>42.403379063866929</v>
      </c>
      <c r="D89" s="27">
        <f>SUM(P78:T78)/B84</f>
        <v>40.797453801970796</v>
      </c>
      <c r="E89" s="27">
        <f>SUM(U78:AD78)/B84</f>
        <v>81.012000627724731</v>
      </c>
      <c r="F89" s="143">
        <f t="shared" si="25"/>
        <v>181.40591721531723</v>
      </c>
    </row>
    <row r="90" spans="1:31" ht="30">
      <c r="A90" s="12" t="s">
        <v>74</v>
      </c>
      <c r="B90" s="27">
        <f>SUM(I79:J79)/B84</f>
        <v>96.657522081310745</v>
      </c>
      <c r="C90" s="27">
        <f>SUM(K79:O79)/B84</f>
        <v>238.38687780027794</v>
      </c>
      <c r="D90" s="27">
        <f>SUM(P79:T79)/B84</f>
        <v>229.35855228434681</v>
      </c>
      <c r="E90" s="27">
        <f>SUM(U79:AD79)/B84</f>
        <v>455.44006917255115</v>
      </c>
      <c r="F90" s="143">
        <f t="shared" si="25"/>
        <v>1019.8430213384867</v>
      </c>
    </row>
    <row r="91" spans="1:31" ht="30">
      <c r="A91" s="12" t="s">
        <v>75</v>
      </c>
      <c r="B91" s="27">
        <f>SUM(I80:J80)/B84</f>
        <v>69.199369615407562</v>
      </c>
      <c r="C91" s="27">
        <f>SUM(K80:O80)/B84</f>
        <v>168.98020119460725</v>
      </c>
      <c r="D91" s="27">
        <f>SUM(P80:T80)/B84</f>
        <v>159.19499212434394</v>
      </c>
      <c r="E91" s="27">
        <f>SUM(U80:AD80)/B84</f>
        <v>303.15376248237254</v>
      </c>
      <c r="F91" s="143">
        <f t="shared" si="25"/>
        <v>700.52832541673138</v>
      </c>
    </row>
    <row r="92" spans="1:31">
      <c r="A92" s="102"/>
      <c r="B92" s="143">
        <f>SUM(B86:B91)</f>
        <v>250.44029703851731</v>
      </c>
      <c r="C92" s="143">
        <f t="shared" ref="C92:F92" si="26">SUM(C86:C91)</f>
        <v>615.97550883012048</v>
      </c>
      <c r="D92" s="143">
        <f t="shared" si="26"/>
        <v>589.26143530781178</v>
      </c>
      <c r="E92" s="143">
        <f t="shared" si="26"/>
        <v>1157.1419337603409</v>
      </c>
      <c r="F92" s="143">
        <f t="shared" si="26"/>
        <v>2612.8191749367907</v>
      </c>
    </row>
    <row r="95" spans="1:31">
      <c r="A95" t="s">
        <v>321</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topLeftCell="A3" workbookViewId="0">
      <selection activeCell="A6" sqref="A6"/>
    </sheetView>
  </sheetViews>
  <sheetFormatPr defaultRowHeight="15"/>
  <cols>
    <col min="1" max="1" width="14.85546875" customWidth="1"/>
    <col min="2" max="2" width="17.140625" customWidth="1"/>
  </cols>
  <sheetData>
    <row r="1" spans="1:2" hidden="1"/>
    <row r="2" spans="1:2" hidden="1"/>
    <row r="3" spans="1:2" ht="40.5" customHeight="1">
      <c r="A3" s="152" t="s">
        <v>70</v>
      </c>
      <c r="B3" s="152"/>
    </row>
    <row r="4" spans="1:2" ht="60" customHeight="1">
      <c r="A4" s="12" t="s">
        <v>65</v>
      </c>
      <c r="B4" s="12" t="s">
        <v>66</v>
      </c>
    </row>
    <row r="5" spans="1:2">
      <c r="A5" s="11"/>
      <c r="B5" s="18">
        <v>0.2661</v>
      </c>
    </row>
    <row r="6" spans="1:2">
      <c r="A6" s="15">
        <v>1374028</v>
      </c>
      <c r="B6" s="16">
        <f>A6*$B$5</f>
        <v>365628.85080000001</v>
      </c>
    </row>
    <row r="7" spans="1:2">
      <c r="A7" s="15">
        <v>822667</v>
      </c>
      <c r="B7" s="16">
        <f t="shared" ref="B7:B37" si="0">A7*$B$5</f>
        <v>218911.6887</v>
      </c>
    </row>
    <row r="8" spans="1:2">
      <c r="A8" s="15">
        <v>3304446</v>
      </c>
      <c r="B8" s="16">
        <f t="shared" si="0"/>
        <v>879313.08059999999</v>
      </c>
    </row>
    <row r="9" spans="1:2">
      <c r="A9" s="15">
        <v>660289</v>
      </c>
      <c r="B9" s="16">
        <f t="shared" si="0"/>
        <v>175702.90290000002</v>
      </c>
    </row>
    <row r="10" spans="1:2">
      <c r="A10" s="15">
        <v>2288952</v>
      </c>
      <c r="B10" s="16">
        <f t="shared" si="0"/>
        <v>609090.12719999999</v>
      </c>
    </row>
    <row r="11" spans="1:2">
      <c r="A11" s="15">
        <v>1920964</v>
      </c>
      <c r="B11" s="16">
        <f t="shared" si="0"/>
        <v>511168.52039999998</v>
      </c>
    </row>
    <row r="12" spans="1:2">
      <c r="A12" s="15">
        <v>4498419</v>
      </c>
      <c r="B12" s="16">
        <f t="shared" si="0"/>
        <v>1197029.2959</v>
      </c>
    </row>
    <row r="13" spans="1:2">
      <c r="A13" s="15">
        <v>1001357</v>
      </c>
      <c r="B13" s="16">
        <f t="shared" si="0"/>
        <v>266461.09769999998</v>
      </c>
    </row>
    <row r="14" spans="1:2">
      <c r="A14" s="15">
        <v>36066</v>
      </c>
      <c r="B14" s="16">
        <f t="shared" si="0"/>
        <v>9597.1625999999997</v>
      </c>
    </row>
    <row r="15" spans="1:2">
      <c r="A15" s="15">
        <v>4087795</v>
      </c>
      <c r="B15" s="16">
        <f t="shared" si="0"/>
        <v>1087762.2494999999</v>
      </c>
    </row>
    <row r="16" spans="1:2">
      <c r="A16" s="15">
        <v>118662</v>
      </c>
      <c r="B16" s="16">
        <f t="shared" si="0"/>
        <v>31575.958200000001</v>
      </c>
    </row>
    <row r="17" spans="1:2">
      <c r="A17" s="15">
        <v>1126199</v>
      </c>
      <c r="B17" s="16">
        <f t="shared" si="0"/>
        <v>299681.5539</v>
      </c>
    </row>
    <row r="18" spans="1:2">
      <c r="A18" s="15">
        <v>2105362</v>
      </c>
      <c r="B18" s="16">
        <f t="shared" si="0"/>
        <v>560236.82819999999</v>
      </c>
    </row>
    <row r="19" spans="1:2">
      <c r="A19" s="15">
        <v>3475</v>
      </c>
      <c r="B19" s="16">
        <f t="shared" si="0"/>
        <v>924.69749999999999</v>
      </c>
    </row>
    <row r="20" spans="1:2">
      <c r="A20" s="15">
        <v>270061</v>
      </c>
      <c r="B20" s="16">
        <f t="shared" si="0"/>
        <v>71863.232099999994</v>
      </c>
    </row>
    <row r="21" spans="1:2">
      <c r="A21" s="15">
        <v>1716500</v>
      </c>
      <c r="B21" s="16">
        <f t="shared" si="0"/>
        <v>456760.65</v>
      </c>
    </row>
    <row r="22" spans="1:2">
      <c r="A22" s="15">
        <v>2734351</v>
      </c>
      <c r="B22" s="16">
        <f t="shared" si="0"/>
        <v>727610.80110000004</v>
      </c>
    </row>
    <row r="23" spans="1:2">
      <c r="A23" s="15">
        <v>1329151</v>
      </c>
      <c r="B23" s="16">
        <f t="shared" si="0"/>
        <v>353687.08110000001</v>
      </c>
    </row>
    <row r="24" spans="1:2">
      <c r="A24" s="15">
        <v>1080692</v>
      </c>
      <c r="B24" s="16">
        <f t="shared" si="0"/>
        <v>287572.14120000001</v>
      </c>
    </row>
    <row r="25" spans="1:2">
      <c r="A25" s="15">
        <v>465374</v>
      </c>
      <c r="B25" s="16">
        <f t="shared" si="0"/>
        <v>123836.0214</v>
      </c>
    </row>
    <row r="26" spans="1:2">
      <c r="A26" s="15">
        <v>157146</v>
      </c>
      <c r="B26" s="16">
        <f t="shared" si="0"/>
        <v>41816.550600000002</v>
      </c>
    </row>
    <row r="27" spans="1:2">
      <c r="A27" s="15">
        <v>3988550</v>
      </c>
      <c r="B27" s="16">
        <f t="shared" si="0"/>
        <v>1061353.155</v>
      </c>
    </row>
    <row r="28" spans="1:2">
      <c r="A28" s="15">
        <v>2301128</v>
      </c>
      <c r="B28" s="16">
        <f t="shared" si="0"/>
        <v>612330.16079999995</v>
      </c>
    </row>
    <row r="29" spans="1:2">
      <c r="A29" s="15">
        <v>2490005</v>
      </c>
      <c r="B29" s="16">
        <f t="shared" si="0"/>
        <v>662590.33050000004</v>
      </c>
    </row>
    <row r="30" spans="1:2">
      <c r="A30" s="15">
        <v>62924</v>
      </c>
      <c r="B30" s="16">
        <f t="shared" si="0"/>
        <v>16744.076400000002</v>
      </c>
    </row>
    <row r="31" spans="1:2">
      <c r="A31" s="15">
        <v>155569</v>
      </c>
      <c r="B31" s="16">
        <f t="shared" si="0"/>
        <v>41396.910900000003</v>
      </c>
    </row>
    <row r="32" spans="1:2">
      <c r="A32" s="15">
        <v>2395902</v>
      </c>
      <c r="B32" s="16">
        <f t="shared" si="0"/>
        <v>637549.52220000001</v>
      </c>
    </row>
    <row r="33" spans="1:2">
      <c r="A33" s="15">
        <v>1766335</v>
      </c>
      <c r="B33" s="16">
        <f t="shared" si="0"/>
        <v>470021.74349999998</v>
      </c>
    </row>
    <row r="34" spans="1:2">
      <c r="A34" s="15">
        <v>463840</v>
      </c>
      <c r="B34" s="16">
        <f t="shared" si="0"/>
        <v>123427.82400000001</v>
      </c>
    </row>
    <row r="35" spans="1:2">
      <c r="A35" s="15">
        <v>1388981</v>
      </c>
      <c r="B35" s="16">
        <f t="shared" si="0"/>
        <v>369607.84409999999</v>
      </c>
    </row>
    <row r="36" spans="1:2">
      <c r="A36" s="15">
        <v>419632</v>
      </c>
      <c r="B36" s="16">
        <f t="shared" si="0"/>
        <v>111664.07520000001</v>
      </c>
    </row>
    <row r="37" spans="1:2">
      <c r="A37" s="17">
        <f>SUM(A6:A36)</f>
        <v>46534822</v>
      </c>
      <c r="B37" s="17">
        <f t="shared" si="0"/>
        <v>12382916.134199999</v>
      </c>
    </row>
  </sheetData>
  <mergeCells count="1">
    <mergeCell ref="A3:B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topLeftCell="A14" workbookViewId="0">
      <selection activeCell="E35" sqref="E35"/>
    </sheetView>
  </sheetViews>
  <sheetFormatPr defaultRowHeight="15"/>
  <cols>
    <col min="1" max="1" width="34.7109375" customWidth="1"/>
    <col min="2" max="8" width="9" customWidth="1"/>
  </cols>
  <sheetData>
    <row r="1" spans="1:31" s="146" customFormat="1">
      <c r="A1" s="2" t="s">
        <v>99</v>
      </c>
    </row>
    <row r="2" spans="1:31" ht="30" customHeight="1">
      <c r="A2" s="1" t="s">
        <v>98</v>
      </c>
      <c r="B2" s="39" t="s">
        <v>103</v>
      </c>
      <c r="C2" s="39" t="s">
        <v>101</v>
      </c>
      <c r="D2" s="39" t="s">
        <v>102</v>
      </c>
      <c r="E2" s="13">
        <v>2015</v>
      </c>
      <c r="F2" s="13">
        <v>2016</v>
      </c>
      <c r="G2" s="13">
        <v>2017</v>
      </c>
      <c r="H2" s="13">
        <v>2018</v>
      </c>
      <c r="I2" s="25">
        <v>2019</v>
      </c>
      <c r="J2" s="25">
        <v>2020</v>
      </c>
      <c r="K2" s="25">
        <v>2021</v>
      </c>
      <c r="L2" s="25">
        <v>2022</v>
      </c>
      <c r="M2" s="25">
        <v>2023</v>
      </c>
      <c r="N2" s="25">
        <v>2024</v>
      </c>
      <c r="O2" s="25">
        <v>2025</v>
      </c>
      <c r="P2" s="25">
        <v>2026</v>
      </c>
      <c r="Q2" s="25">
        <v>2027</v>
      </c>
      <c r="R2" s="25">
        <v>2028</v>
      </c>
      <c r="S2" s="25">
        <v>2029</v>
      </c>
      <c r="T2" s="25">
        <v>2030</v>
      </c>
      <c r="U2" s="25">
        <v>2031</v>
      </c>
      <c r="V2" s="25">
        <v>2032</v>
      </c>
      <c r="W2" s="25">
        <v>2033</v>
      </c>
      <c r="X2" s="25">
        <v>2034</v>
      </c>
      <c r="Y2" s="25">
        <v>2035</v>
      </c>
      <c r="Z2" s="25">
        <v>2036</v>
      </c>
      <c r="AA2" s="25">
        <v>2037</v>
      </c>
      <c r="AB2" s="25">
        <v>2038</v>
      </c>
      <c r="AC2" s="25">
        <v>2039</v>
      </c>
      <c r="AD2" s="25">
        <v>2040</v>
      </c>
      <c r="AE2" t="s">
        <v>114</v>
      </c>
    </row>
    <row r="3" spans="1:31">
      <c r="A3" t="s">
        <v>104</v>
      </c>
      <c r="B3" s="38">
        <v>32.200000000000003</v>
      </c>
      <c r="C3" s="38">
        <v>34.4</v>
      </c>
      <c r="D3" s="38">
        <v>34.598999999999997</v>
      </c>
      <c r="E3" s="9">
        <f>D3*(1+'Inflation Factors per Handbook'!$C$6)</f>
        <v>35.602370999999991</v>
      </c>
      <c r="F3" s="9">
        <f>E3*(1+'Inflation Factors per Handbook'!$C$7)</f>
        <v>36.634839758999988</v>
      </c>
      <c r="G3" s="9">
        <f>F3*(1+'Inflation Factors per Handbook'!$C$8)</f>
        <v>37.697250112010984</v>
      </c>
      <c r="H3" s="9">
        <f>G3*(1+'Inflation Factors per Handbook'!$C$9)</f>
        <v>38.790470365259303</v>
      </c>
      <c r="I3" s="9">
        <f>H3*(1+'Inflation Factors per Handbook'!$C$10)</f>
        <v>39.95418447621708</v>
      </c>
      <c r="J3" s="9">
        <f>I3*(1+'Inflation Factors per Handbook'!$C$11)</f>
        <v>41.192764194979809</v>
      </c>
      <c r="K3" s="9">
        <f>J3*(1+'Inflation Factors per Handbook'!$C$12)</f>
        <v>42.552125413414139</v>
      </c>
      <c r="L3" s="9">
        <f>K3*(1+'Inflation Factors per Handbook'!$C$12)</f>
        <v>43.956345552056803</v>
      </c>
      <c r="M3" s="9">
        <f>L3*(1+'Inflation Factors per Handbook'!$C$12)</f>
        <v>45.406904955274676</v>
      </c>
      <c r="N3" s="9">
        <f>M3*(1+'Inflation Factors per Handbook'!$C$12)</f>
        <v>46.905332818798733</v>
      </c>
      <c r="O3" s="9">
        <f>N3*(1+'Inflation Factors per Handbook'!$C$12)</f>
        <v>48.453208801819088</v>
      </c>
      <c r="P3" s="9">
        <f>O3*(1+'Inflation Factors per Handbook'!$C$12)</f>
        <v>50.052164692279113</v>
      </c>
      <c r="Q3" s="9">
        <f>P3*(1+'Inflation Factors per Handbook'!$C$12)</f>
        <v>51.703886127124321</v>
      </c>
      <c r="R3" s="9">
        <f>Q3*(1+'Inflation Factors per Handbook'!$C$12)</f>
        <v>53.410114369319416</v>
      </c>
      <c r="S3" s="9">
        <f>R3*(1+'Inflation Factors per Handbook'!$C$12)</f>
        <v>55.172648143506954</v>
      </c>
      <c r="T3" s="9">
        <f>S3*(1+'Inflation Factors per Handbook'!$C$12)</f>
        <v>56.993345532242678</v>
      </c>
      <c r="U3" s="9">
        <f>T3*(1+'Inflation Factors per Handbook'!$C$12)</f>
        <v>58.874125934806685</v>
      </c>
      <c r="V3" s="9">
        <f>U3*(1+'Inflation Factors per Handbook'!$C$12)</f>
        <v>60.816972090655298</v>
      </c>
      <c r="W3" s="9">
        <f>V3*(1+'Inflation Factors per Handbook'!$C$12)</f>
        <v>62.823932169646916</v>
      </c>
      <c r="X3" s="9">
        <f>W3*(1+'Inflation Factors per Handbook'!$C$12)</f>
        <v>64.897121931245266</v>
      </c>
      <c r="Y3" s="9">
        <f>X3*(1+'Inflation Factors per Handbook'!$C$12)</f>
        <v>67.038726954976354</v>
      </c>
      <c r="Z3" s="9">
        <f>Y3*(1+'Inflation Factors per Handbook'!$C$12)</f>
        <v>69.251004944490575</v>
      </c>
      <c r="AA3" s="9">
        <f>Z3*(1+'Inflation Factors per Handbook'!$C$12)</f>
        <v>71.536288107658763</v>
      </c>
      <c r="AB3" s="9">
        <f>AA3*(1+'Inflation Factors per Handbook'!$C$12)</f>
        <v>73.896985615211491</v>
      </c>
      <c r="AC3" s="9">
        <f>AB3*(1+'Inflation Factors per Handbook'!$C$12)</f>
        <v>76.33558614051347</v>
      </c>
      <c r="AD3" s="9">
        <f>AC3*(1+'Inflation Factors per Handbook'!$C$12)</f>
        <v>78.854660483150411</v>
      </c>
      <c r="AE3" s="9">
        <f>SUM(I3:AD3)</f>
        <v>1260.0784294493878</v>
      </c>
    </row>
    <row r="4" spans="1:31">
      <c r="A4" t="s">
        <v>95</v>
      </c>
      <c r="B4" s="38">
        <v>21.68</v>
      </c>
      <c r="C4" s="38">
        <v>18.899999999999999</v>
      </c>
      <c r="D4" s="38">
        <v>21.16</v>
      </c>
      <c r="E4" s="9">
        <f>D4*(1+'Inflation Factors per Handbook'!$C$6)</f>
        <v>21.773639999999997</v>
      </c>
      <c r="F4" s="9">
        <f>E4*(1+'Inflation Factors per Handbook'!$C$7)</f>
        <v>22.405075559999993</v>
      </c>
      <c r="G4" s="9">
        <f>F4*(1+'Inflation Factors per Handbook'!$C$8)</f>
        <v>23.054822751239993</v>
      </c>
      <c r="H4" s="9">
        <f>G4*(1+'Inflation Factors per Handbook'!$C$9)</f>
        <v>23.72341261102595</v>
      </c>
      <c r="I4" s="9">
        <f>H4*(1+'Inflation Factors per Handbook'!$C$10)</f>
        <v>24.43511498935673</v>
      </c>
      <c r="J4" s="9">
        <f>I4*(1+'Inflation Factors per Handbook'!$C$11)</f>
        <v>25.192603554026785</v>
      </c>
      <c r="K4" s="9">
        <f>J4*(1+'Inflation Factors per Handbook'!$C$12)</f>
        <v>26.023959471309666</v>
      </c>
      <c r="L4" s="9">
        <f>K4*(1+'Inflation Factors per Handbook'!$C$12)</f>
        <v>26.882750133862885</v>
      </c>
      <c r="M4" s="9">
        <f>L4*(1+'Inflation Factors per Handbook'!$C$12)</f>
        <v>27.769880888280358</v>
      </c>
      <c r="N4" s="9">
        <f>M4*(1+'Inflation Factors per Handbook'!$C$12)</f>
        <v>28.686286957593609</v>
      </c>
      <c r="O4" s="9">
        <f>N4*(1+'Inflation Factors per Handbook'!$C$12)</f>
        <v>29.632934427194197</v>
      </c>
      <c r="P4" s="9">
        <f>O4*(1+'Inflation Factors per Handbook'!$C$12)</f>
        <v>30.610821263291601</v>
      </c>
      <c r="Q4" s="9">
        <f>P4*(1+'Inflation Factors per Handbook'!$C$12)</f>
        <v>31.620978364980221</v>
      </c>
      <c r="R4" s="9">
        <f>Q4*(1+'Inflation Factors per Handbook'!$C$12)</f>
        <v>32.664470651024565</v>
      </c>
      <c r="S4" s="9">
        <f>R4*(1+'Inflation Factors per Handbook'!$C$12)</f>
        <v>33.742398182508374</v>
      </c>
      <c r="T4" s="9">
        <f>S4*(1+'Inflation Factors per Handbook'!$C$12)</f>
        <v>34.855897322531149</v>
      </c>
      <c r="U4" s="9">
        <f>T4*(1+'Inflation Factors per Handbook'!$C$12)</f>
        <v>36.006141934174671</v>
      </c>
      <c r="V4" s="9">
        <f>U4*(1+'Inflation Factors per Handbook'!$C$12)</f>
        <v>37.194344618002432</v>
      </c>
      <c r="W4" s="9">
        <f>V4*(1+'Inflation Factors per Handbook'!$C$12)</f>
        <v>38.421757990396507</v>
      </c>
      <c r="X4" s="9">
        <f>W4*(1+'Inflation Factors per Handbook'!$C$12)</f>
        <v>39.689676004079587</v>
      </c>
      <c r="Y4" s="9">
        <f>X4*(1+'Inflation Factors per Handbook'!$C$12)</f>
        <v>40.99943531221421</v>
      </c>
      <c r="Z4" s="9">
        <f>Y4*(1+'Inflation Factors per Handbook'!$C$12)</f>
        <v>42.352416677517276</v>
      </c>
      <c r="AA4" s="9">
        <f>Z4*(1+'Inflation Factors per Handbook'!$C$12)</f>
        <v>43.75004642787534</v>
      </c>
      <c r="AB4" s="9">
        <f>AA4*(1+'Inflation Factors per Handbook'!$C$12)</f>
        <v>45.193797959995223</v>
      </c>
      <c r="AC4" s="9">
        <f>AB4*(1+'Inflation Factors per Handbook'!$C$12)</f>
        <v>46.685193292675059</v>
      </c>
      <c r="AD4" s="9">
        <f>AC4*(1+'Inflation Factors per Handbook'!$C$12)</f>
        <v>48.225804671333336</v>
      </c>
      <c r="AE4" s="9">
        <f t="shared" ref="AE4:AE9" si="0">SUM(I4:AD4)</f>
        <v>770.63671109422364</v>
      </c>
    </row>
    <row r="5" spans="1:31">
      <c r="A5" t="s">
        <v>96</v>
      </c>
      <c r="B5" s="38">
        <v>11.43</v>
      </c>
      <c r="C5" s="38">
        <v>12.06</v>
      </c>
      <c r="D5" s="38">
        <v>13</v>
      </c>
      <c r="E5" s="9">
        <f>D5*(1+'Inflation Factors per Handbook'!$C$6)</f>
        <v>13.376999999999999</v>
      </c>
      <c r="F5" s="9">
        <f>E5*(1+'Inflation Factors per Handbook'!$C$7)</f>
        <v>13.764932999999997</v>
      </c>
      <c r="G5" s="9">
        <f>F5*(1+'Inflation Factors per Handbook'!$C$8)</f>
        <v>14.164116056999996</v>
      </c>
      <c r="H5" s="9">
        <f>G5*(1+'Inflation Factors per Handbook'!$C$9)</f>
        <v>14.574875422652994</v>
      </c>
      <c r="I5" s="9">
        <f>H5*(1+'Inflation Factors per Handbook'!$C$10)</f>
        <v>15.012121685332584</v>
      </c>
      <c r="J5" s="9">
        <f>I5*(1+'Inflation Factors per Handbook'!$C$11)</f>
        <v>15.477497457577893</v>
      </c>
      <c r="K5" s="9">
        <f>J5*(1+'Inflation Factors per Handbook'!$C$12)</f>
        <v>15.988254873677963</v>
      </c>
      <c r="L5" s="9">
        <f>K5*(1+'Inflation Factors per Handbook'!$C$12)</f>
        <v>16.515867284509334</v>
      </c>
      <c r="M5" s="9">
        <f>L5*(1+'Inflation Factors per Handbook'!$C$12)</f>
        <v>17.060890904898141</v>
      </c>
      <c r="N5" s="9">
        <f>M5*(1+'Inflation Factors per Handbook'!$C$12)</f>
        <v>17.623900304759779</v>
      </c>
      <c r="O5" s="9">
        <f>N5*(1+'Inflation Factors per Handbook'!$C$12)</f>
        <v>18.205489014816852</v>
      </c>
      <c r="P5" s="9">
        <f>O5*(1+'Inflation Factors per Handbook'!$C$12)</f>
        <v>18.806270152305807</v>
      </c>
      <c r="Q5" s="9">
        <f>P5*(1+'Inflation Factors per Handbook'!$C$12)</f>
        <v>19.426877067331898</v>
      </c>
      <c r="R5" s="9">
        <f>Q5*(1+'Inflation Factors per Handbook'!$C$12)</f>
        <v>20.067964010553847</v>
      </c>
      <c r="S5" s="9">
        <f>R5*(1+'Inflation Factors per Handbook'!$C$12)</f>
        <v>20.730206822902122</v>
      </c>
      <c r="T5" s="9">
        <f>S5*(1+'Inflation Factors per Handbook'!$C$12)</f>
        <v>21.414303648057892</v>
      </c>
      <c r="U5" s="9">
        <f>T5*(1+'Inflation Factors per Handbook'!$C$12)</f>
        <v>22.120975668443801</v>
      </c>
      <c r="V5" s="9">
        <f>U5*(1+'Inflation Factors per Handbook'!$C$12)</f>
        <v>22.850967865502444</v>
      </c>
      <c r="W5" s="9">
        <f>V5*(1+'Inflation Factors per Handbook'!$C$12)</f>
        <v>23.605049805064024</v>
      </c>
      <c r="X5" s="9">
        <f>W5*(1+'Inflation Factors per Handbook'!$C$12)</f>
        <v>24.384016448631133</v>
      </c>
      <c r="Y5" s="9">
        <f>X5*(1+'Inflation Factors per Handbook'!$C$12)</f>
        <v>25.18868899143596</v>
      </c>
      <c r="Z5" s="9">
        <f>Y5*(1+'Inflation Factors per Handbook'!$C$12)</f>
        <v>26.019915728153343</v>
      </c>
      <c r="AA5" s="9">
        <f>Z5*(1+'Inflation Factors per Handbook'!$C$12)</f>
        <v>26.878572947182402</v>
      </c>
      <c r="AB5" s="9">
        <f>AA5*(1+'Inflation Factors per Handbook'!$C$12)</f>
        <v>27.765565854439419</v>
      </c>
      <c r="AC5" s="9">
        <f>AB5*(1+'Inflation Factors per Handbook'!$C$12)</f>
        <v>28.681829527635919</v>
      </c>
      <c r="AD5" s="9">
        <f>AC5*(1+'Inflation Factors per Handbook'!$C$12)</f>
        <v>29.628329902047902</v>
      </c>
      <c r="AE5" s="9">
        <f t="shared" si="0"/>
        <v>473.45355596526053</v>
      </c>
    </row>
    <row r="6" spans="1:31" s="1" customFormat="1">
      <c r="A6" s="1" t="s">
        <v>84</v>
      </c>
      <c r="B6" s="40">
        <f>SUM(B3:B5)</f>
        <v>65.31</v>
      </c>
      <c r="C6" s="40">
        <f t="shared" ref="C6:D6" si="1">SUM(C3:C5)</f>
        <v>65.36</v>
      </c>
      <c r="D6" s="40">
        <f t="shared" si="1"/>
        <v>68.759</v>
      </c>
      <c r="E6" s="24">
        <f>D6*(1+'Inflation Factors per Handbook'!$C$6)</f>
        <v>70.753011000000001</v>
      </c>
      <c r="F6" s="24">
        <f>E6*(1+'Inflation Factors per Handbook'!$C$7)</f>
        <v>72.804848319000001</v>
      </c>
      <c r="G6" s="24">
        <f>F6*(1+'Inflation Factors per Handbook'!$C$8)</f>
        <v>74.916188920250988</v>
      </c>
      <c r="H6" s="24">
        <f>G6*(1+'Inflation Factors per Handbook'!$C$9)</f>
        <v>77.088758398938268</v>
      </c>
      <c r="I6" s="24">
        <f>H6*(1+'Inflation Factors per Handbook'!$C$10)</f>
        <v>79.401421150906415</v>
      </c>
      <c r="J6" s="24">
        <f>I6*(1+'Inflation Factors per Handbook'!$C$11)</f>
        <v>81.862865206584502</v>
      </c>
      <c r="K6" s="24">
        <f>J6*(1+'Inflation Factors per Handbook'!$C$12)</f>
        <v>84.564339758401786</v>
      </c>
      <c r="L6" s="24">
        <f>K6*(1+'Inflation Factors per Handbook'!$C$12)</f>
        <v>87.354962970429042</v>
      </c>
      <c r="M6" s="24">
        <f>L6*(1+'Inflation Factors per Handbook'!$C$12)</f>
        <v>90.237676748453197</v>
      </c>
      <c r="N6" s="24">
        <f>M6*(1+'Inflation Factors per Handbook'!$C$12)</f>
        <v>93.21552008115215</v>
      </c>
      <c r="O6" s="24">
        <f>N6*(1+'Inflation Factors per Handbook'!$C$12)</f>
        <v>96.291632243830165</v>
      </c>
      <c r="P6" s="24">
        <f>O6*(1+'Inflation Factors per Handbook'!$C$12)</f>
        <v>99.469256107876546</v>
      </c>
      <c r="Q6" s="24">
        <f>P6*(1+'Inflation Factors per Handbook'!$C$12)</f>
        <v>102.75174155943647</v>
      </c>
      <c r="R6" s="24">
        <f>Q6*(1+'Inflation Factors per Handbook'!$C$12)</f>
        <v>106.14254903089787</v>
      </c>
      <c r="S6" s="24">
        <f>R6*(1+'Inflation Factors per Handbook'!$C$12)</f>
        <v>109.64525314891749</v>
      </c>
      <c r="T6" s="24">
        <f>S6*(1+'Inflation Factors per Handbook'!$C$12)</f>
        <v>113.26354650283176</v>
      </c>
      <c r="U6" s="24">
        <f>T6*(1+'Inflation Factors per Handbook'!$C$12)</f>
        <v>117.0012435374252</v>
      </c>
      <c r="V6" s="24">
        <f>U6*(1+'Inflation Factors per Handbook'!$C$12)</f>
        <v>120.86228457416021</v>
      </c>
      <c r="W6" s="24">
        <f>V6*(1+'Inflation Factors per Handbook'!$C$12)</f>
        <v>124.85073996510749</v>
      </c>
      <c r="X6" s="24">
        <f>W6*(1+'Inflation Factors per Handbook'!$C$12)</f>
        <v>128.97081438395603</v>
      </c>
      <c r="Y6" s="24">
        <f>X6*(1+'Inflation Factors per Handbook'!$C$12)</f>
        <v>133.22685125862657</v>
      </c>
      <c r="Z6" s="24">
        <f>Y6*(1+'Inflation Factors per Handbook'!$C$12)</f>
        <v>137.62333735016122</v>
      </c>
      <c r="AA6" s="24">
        <f>Z6*(1+'Inflation Factors per Handbook'!$C$12)</f>
        <v>142.16490748271653</v>
      </c>
      <c r="AB6" s="24">
        <f>AA6*(1+'Inflation Factors per Handbook'!$C$12)</f>
        <v>146.85634942964617</v>
      </c>
      <c r="AC6" s="24">
        <f>AB6*(1+'Inflation Factors per Handbook'!$C$12)</f>
        <v>151.70260896082448</v>
      </c>
      <c r="AD6" s="24">
        <f>AC6*(1+'Inflation Factors per Handbook'!$C$12)</f>
        <v>156.70879505653167</v>
      </c>
      <c r="AE6" s="9">
        <f t="shared" si="0"/>
        <v>2504.1686965088725</v>
      </c>
    </row>
    <row r="7" spans="1:31" s="1" customFormat="1">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9"/>
    </row>
    <row r="8" spans="1:31">
      <c r="A8" s="1" t="s">
        <v>100</v>
      </c>
      <c r="D8" s="153" t="s">
        <v>113</v>
      </c>
      <c r="E8" s="153"/>
      <c r="F8" s="153"/>
      <c r="G8" s="153"/>
      <c r="H8" s="153"/>
      <c r="AE8" s="9"/>
    </row>
    <row r="9" spans="1:31">
      <c r="A9" t="s">
        <v>97</v>
      </c>
      <c r="D9" s="38">
        <v>21.27</v>
      </c>
      <c r="E9" s="38">
        <v>21.27</v>
      </c>
      <c r="F9" s="38">
        <v>21.27</v>
      </c>
      <c r="G9" s="38">
        <v>21.27</v>
      </c>
      <c r="H9" s="38">
        <v>21.27</v>
      </c>
      <c r="I9" s="9">
        <f>H9*(1+'Inflation Factors per Handbook'!$C$10)</f>
        <v>21.908100000000001</v>
      </c>
      <c r="J9" s="9">
        <f>I9*(1+'Inflation Factors per Handbook'!$C$11)</f>
        <v>22.5872511</v>
      </c>
      <c r="K9" s="9">
        <f>J9*(1+'Inflation Factors per Handbook'!$C$12)</f>
        <v>23.332630386299996</v>
      </c>
      <c r="L9" s="9">
        <f>K9*(1+'Inflation Factors per Handbook'!$C$12)</f>
        <v>24.102607189047895</v>
      </c>
      <c r="M9" s="9">
        <f>L9*(1+'Inflation Factors per Handbook'!$C$12)</f>
        <v>24.897993226286474</v>
      </c>
      <c r="N9" s="9">
        <f>M9*(1+'Inflation Factors per Handbook'!$C$12)</f>
        <v>25.719627002753924</v>
      </c>
      <c r="O9" s="9">
        <f>N9*(1+'Inflation Factors per Handbook'!$C$12)</f>
        <v>26.568374693844802</v>
      </c>
      <c r="P9" s="9">
        <f>O9*(1+'Inflation Factors per Handbook'!$C$12)</f>
        <v>27.44513105874168</v>
      </c>
      <c r="Q9" s="9">
        <f>P9*(1+'Inflation Factors per Handbook'!$C$12)</f>
        <v>28.350820383680151</v>
      </c>
      <c r="R9" s="9">
        <f>Q9*(1+'Inflation Factors per Handbook'!$C$12)</f>
        <v>29.286397456341593</v>
      </c>
      <c r="S9" s="9">
        <f>R9*(1+'Inflation Factors per Handbook'!$C$12)</f>
        <v>30.252848572400865</v>
      </c>
      <c r="T9" s="9">
        <f>S9*(1+'Inflation Factors per Handbook'!$C$12)</f>
        <v>31.251192575290091</v>
      </c>
      <c r="U9" s="9">
        <f>T9*(1+'Inflation Factors per Handbook'!$C$12)</f>
        <v>32.282481930274663</v>
      </c>
      <c r="V9" s="9">
        <f>U9*(1+'Inflation Factors per Handbook'!$C$12)</f>
        <v>33.347803833973721</v>
      </c>
      <c r="W9" s="9">
        <f>V9*(1+'Inflation Factors per Handbook'!$C$12)</f>
        <v>34.448281360494853</v>
      </c>
      <c r="X9" s="9">
        <f>W9*(1+'Inflation Factors per Handbook'!$C$12)</f>
        <v>35.585074645391181</v>
      </c>
      <c r="Y9" s="9">
        <f>X9*(1+'Inflation Factors per Handbook'!$C$12)</f>
        <v>36.759382108689088</v>
      </c>
      <c r="Z9" s="9">
        <f>Y9*(1+'Inflation Factors per Handbook'!$C$12)</f>
        <v>37.972441718275824</v>
      </c>
      <c r="AA9" s="9">
        <f>Z9*(1+'Inflation Factors per Handbook'!$C$12)</f>
        <v>39.225532294978926</v>
      </c>
      <c r="AB9" s="9">
        <f>AA9*(1+'Inflation Factors per Handbook'!$C$12)</f>
        <v>40.519974860713226</v>
      </c>
      <c r="AC9" s="9">
        <f>AB9*(1+'Inflation Factors per Handbook'!$C$12)</f>
        <v>41.857134031116757</v>
      </c>
      <c r="AD9" s="9">
        <f>AC9*(1+'Inflation Factors per Handbook'!$C$12)</f>
        <v>43.23841945414361</v>
      </c>
      <c r="AE9" s="9">
        <f t="shared" si="0"/>
        <v>690.93949988273926</v>
      </c>
    </row>
    <row r="10" spans="1:31">
      <c r="A10" s="41" t="s">
        <v>105</v>
      </c>
      <c r="B10" s="41"/>
      <c r="C10" s="41"/>
      <c r="D10" s="41"/>
      <c r="E10" s="41"/>
    </row>
    <row r="11" spans="1:31">
      <c r="A11" t="s">
        <v>115</v>
      </c>
    </row>
    <row r="12" spans="1:31" ht="30">
      <c r="A12" s="1"/>
      <c r="B12" s="10" t="s">
        <v>4</v>
      </c>
      <c r="C12" s="10" t="s">
        <v>5</v>
      </c>
      <c r="D12" s="10" t="s">
        <v>6</v>
      </c>
      <c r="E12" s="10" t="s">
        <v>7</v>
      </c>
      <c r="F12" s="10" t="s">
        <v>18</v>
      </c>
    </row>
    <row r="13" spans="1:31">
      <c r="A13" s="1" t="s">
        <v>98</v>
      </c>
    </row>
    <row r="14" spans="1:31">
      <c r="A14" t="s">
        <v>104</v>
      </c>
      <c r="B14" s="28">
        <f>I3+J3</f>
        <v>81.146948671196895</v>
      </c>
      <c r="C14" s="28">
        <f>SUM(K3:O3)</f>
        <v>227.27391754136346</v>
      </c>
      <c r="D14" s="28">
        <f>SUM(P3:T3)</f>
        <v>267.33215886447249</v>
      </c>
      <c r="E14" s="28">
        <f>SUM(U3:AD3)</f>
        <v>684.32540437235514</v>
      </c>
      <c r="F14" s="26">
        <f>SUM(B14:E14)</f>
        <v>1260.0784294493878</v>
      </c>
    </row>
    <row r="15" spans="1:31">
      <c r="A15" t="s">
        <v>95</v>
      </c>
      <c r="B15" s="28">
        <f>I4+J4</f>
        <v>49.627718543383516</v>
      </c>
      <c r="C15" s="28">
        <f>SUM(K4:O4)</f>
        <v>138.99581187824072</v>
      </c>
      <c r="D15" s="28">
        <f>SUM(P4:T4)</f>
        <v>163.49456578433592</v>
      </c>
      <c r="E15" s="28">
        <f>SUM(U4:AD4)</f>
        <v>418.51861488826364</v>
      </c>
      <c r="F15" s="26">
        <f t="shared" ref="F15:F17" si="2">SUM(B15:E15)</f>
        <v>770.63671109422376</v>
      </c>
    </row>
    <row r="16" spans="1:31">
      <c r="A16" t="s">
        <v>96</v>
      </c>
      <c r="B16" s="28">
        <f>I5+J5</f>
        <v>30.489619142910477</v>
      </c>
      <c r="C16" s="28">
        <f>SUM(K5:O5)</f>
        <v>85.394402382662079</v>
      </c>
      <c r="D16" s="28">
        <f>SUM(P5:T5)</f>
        <v>100.44562170115157</v>
      </c>
      <c r="E16" s="28">
        <f>SUM(U5:AD5)</f>
        <v>257.12391273853632</v>
      </c>
      <c r="F16" s="26">
        <f t="shared" si="2"/>
        <v>473.45355596526042</v>
      </c>
    </row>
    <row r="17" spans="1:30">
      <c r="A17" s="1" t="s">
        <v>133</v>
      </c>
      <c r="B17" s="26">
        <f>I6+J6</f>
        <v>161.2642863574909</v>
      </c>
      <c r="C17" s="26">
        <f>SUM(K6:O6)</f>
        <v>451.66413180226635</v>
      </c>
      <c r="D17" s="26">
        <f>SUM(P6:T6)</f>
        <v>531.27234634996012</v>
      </c>
      <c r="E17" s="26">
        <f>SUM(U6:AD6)</f>
        <v>1359.9679319991558</v>
      </c>
      <c r="F17" s="26">
        <f t="shared" si="2"/>
        <v>2504.1686965088729</v>
      </c>
    </row>
    <row r="18" spans="1:30">
      <c r="A18" s="1" t="s">
        <v>100</v>
      </c>
      <c r="C18" s="9"/>
      <c r="D18" s="9"/>
      <c r="E18" s="9"/>
      <c r="F18" s="9"/>
    </row>
    <row r="19" spans="1:30">
      <c r="A19" t="s">
        <v>97</v>
      </c>
      <c r="B19" s="28">
        <f>I9+J9</f>
        <v>44.495351100000001</v>
      </c>
      <c r="C19" s="28">
        <f>SUM(K9:O9)</f>
        <v>124.62123249823308</v>
      </c>
      <c r="D19" s="28">
        <f>SUM(P9:T9)</f>
        <v>146.58639004645437</v>
      </c>
      <c r="E19" s="28">
        <f>SUM(U9:AD9)</f>
        <v>375.23652623805185</v>
      </c>
      <c r="F19" s="26">
        <f t="shared" ref="F19" si="3">SUM(B19:E19)</f>
        <v>690.93949988273926</v>
      </c>
    </row>
    <row r="20" spans="1:30">
      <c r="A20" s="1" t="s">
        <v>84</v>
      </c>
      <c r="B20" s="26">
        <f>B19+B17</f>
        <v>205.7596374574909</v>
      </c>
      <c r="C20" s="26">
        <f t="shared" ref="C20:F20" si="4">C19+C17</f>
        <v>576.2853643004994</v>
      </c>
      <c r="D20" s="26">
        <f t="shared" si="4"/>
        <v>677.85873639641454</v>
      </c>
      <c r="E20" s="26">
        <f t="shared" si="4"/>
        <v>1735.2044582372077</v>
      </c>
      <c r="F20" s="26">
        <f t="shared" si="4"/>
        <v>3195.1081963916122</v>
      </c>
    </row>
    <row r="22" spans="1:30" s="146" customFormat="1">
      <c r="A22" s="2" t="s">
        <v>317</v>
      </c>
    </row>
    <row r="23" spans="1:30" ht="30">
      <c r="C23" s="138" t="s">
        <v>305</v>
      </c>
      <c r="D23">
        <v>2014</v>
      </c>
      <c r="E23">
        <v>2015</v>
      </c>
      <c r="F23">
        <v>2016</v>
      </c>
      <c r="G23">
        <v>2017</v>
      </c>
      <c r="H23">
        <v>2018</v>
      </c>
      <c r="I23">
        <v>2019</v>
      </c>
      <c r="J23">
        <v>2020</v>
      </c>
      <c r="K23">
        <v>2021</v>
      </c>
      <c r="L23">
        <v>2022</v>
      </c>
      <c r="M23">
        <v>2023</v>
      </c>
      <c r="N23">
        <v>2024</v>
      </c>
      <c r="O23">
        <v>2025</v>
      </c>
      <c r="P23">
        <v>2026</v>
      </c>
      <c r="Q23">
        <v>2027</v>
      </c>
      <c r="R23">
        <v>2028</v>
      </c>
      <c r="S23">
        <v>2029</v>
      </c>
      <c r="T23">
        <v>2030</v>
      </c>
      <c r="U23">
        <v>2031</v>
      </c>
      <c r="V23">
        <v>2032</v>
      </c>
      <c r="W23">
        <v>2033</v>
      </c>
      <c r="X23">
        <v>2034</v>
      </c>
      <c r="Y23">
        <v>2035</v>
      </c>
      <c r="Z23">
        <v>2036</v>
      </c>
      <c r="AA23">
        <v>2037</v>
      </c>
      <c r="AB23">
        <v>2038</v>
      </c>
      <c r="AC23">
        <v>2039</v>
      </c>
      <c r="AD23">
        <v>2040</v>
      </c>
    </row>
    <row r="24" spans="1:30">
      <c r="A24" t="s">
        <v>304</v>
      </c>
      <c r="C24" s="9">
        <v>12.1</v>
      </c>
      <c r="D24" s="9">
        <f>C24*(1+'Inflation Factors per Handbook'!C5)</f>
        <v>12.475099999999999</v>
      </c>
      <c r="E24" s="9">
        <f>D24*(1+'Inflation Factors per Handbook'!C6)</f>
        <v>12.836877899999998</v>
      </c>
      <c r="F24" s="9">
        <f>E24*(1+'Inflation Factors per Handbook'!C7)</f>
        <v>13.209147359099996</v>
      </c>
      <c r="G24" s="9">
        <f>F24*(1+'Inflation Factors per Handbook'!C8)</f>
        <v>13.592212632513894</v>
      </c>
      <c r="H24" s="9">
        <f>G24*(1+'Inflation Factors per Handbook'!C9)</f>
        <v>13.986386798856795</v>
      </c>
      <c r="I24" s="9">
        <f>H24*(1+'Inflation Factors per Handbook'!C10)</f>
        <v>14.4059784028225</v>
      </c>
      <c r="J24" s="9">
        <f>I24*(1+'Inflation Factors per Handbook'!C11)</f>
        <v>14.852563733309996</v>
      </c>
      <c r="K24" s="9">
        <f>J24*(1+'Inflation Factors per Handbook'!$C$12)</f>
        <v>15.342698336509224</v>
      </c>
      <c r="L24" s="9">
        <f>K24*(1+'Inflation Factors per Handbook'!$C$12)</f>
        <v>15.849007381614028</v>
      </c>
      <c r="M24" s="9">
        <f>L24*(1+'Inflation Factors per Handbook'!$C$12)</f>
        <v>16.372024625207288</v>
      </c>
      <c r="N24" s="9">
        <f>M24*(1+'Inflation Factors per Handbook'!$C$12)</f>
        <v>16.912301437839126</v>
      </c>
      <c r="O24" s="9">
        <f>N24*(1+'Inflation Factors per Handbook'!$C$12)</f>
        <v>17.470407385287817</v>
      </c>
      <c r="P24" s="9">
        <f>O24*(1+'Inflation Factors per Handbook'!$C$12)</f>
        <v>18.046930829002314</v>
      </c>
      <c r="Q24" s="9">
        <f>P24*(1+'Inflation Factors per Handbook'!$C$12)</f>
        <v>18.64247954635939</v>
      </c>
      <c r="R24" s="9">
        <f>Q24*(1+'Inflation Factors per Handbook'!$C$12)</f>
        <v>19.257681371389246</v>
      </c>
      <c r="S24" s="9">
        <f>R24*(1+'Inflation Factors per Handbook'!$C$12)</f>
        <v>19.893184856645089</v>
      </c>
      <c r="T24" s="9">
        <f>S24*(1+'Inflation Factors per Handbook'!$C$12)</f>
        <v>20.549659956914375</v>
      </c>
      <c r="U24" s="9">
        <f>T24*(1+'Inflation Factors per Handbook'!$C$12)</f>
        <v>21.227798735492549</v>
      </c>
      <c r="V24" s="9">
        <f>U24*(1+'Inflation Factors per Handbook'!$C$12)</f>
        <v>21.928316093763801</v>
      </c>
      <c r="W24" s="9">
        <f>V24*(1+'Inflation Factors per Handbook'!$C$12)</f>
        <v>22.651950524858005</v>
      </c>
      <c r="X24" s="9">
        <f>W24*(1+'Inflation Factors per Handbook'!$C$12)</f>
        <v>23.399464892178319</v>
      </c>
      <c r="Y24" s="9">
        <f>X24*(1+'Inflation Factors per Handbook'!$C$12)</f>
        <v>24.171647233620202</v>
      </c>
      <c r="Z24" s="9">
        <f>Y24*(1+'Inflation Factors per Handbook'!$C$12)</f>
        <v>24.969311592329667</v>
      </c>
      <c r="AA24" s="9">
        <f>Z24*(1+'Inflation Factors per Handbook'!$C$12)</f>
        <v>25.793298874876545</v>
      </c>
      <c r="AB24" s="9">
        <f>AA24*(1+'Inflation Factors per Handbook'!$C$12)</f>
        <v>26.644477737747469</v>
      </c>
      <c r="AC24" s="9">
        <f>AB24*(1+'Inflation Factors per Handbook'!$C$12)</f>
        <v>27.523745503093132</v>
      </c>
      <c r="AD24" s="9">
        <f>AC24*(1+'Inflation Factors per Handbook'!$C$12)</f>
        <v>28.432029104695204</v>
      </c>
    </row>
    <row r="26" spans="1:30" ht="30">
      <c r="A26" s="1"/>
      <c r="B26" s="10" t="s">
        <v>4</v>
      </c>
      <c r="C26" s="10" t="s">
        <v>5</v>
      </c>
      <c r="D26" s="10" t="s">
        <v>6</v>
      </c>
      <c r="E26" s="10" t="s">
        <v>7</v>
      </c>
      <c r="F26" s="10" t="s">
        <v>18</v>
      </c>
    </row>
    <row r="27" spans="1:30">
      <c r="A27" s="1" t="s">
        <v>98</v>
      </c>
    </row>
    <row r="28" spans="1:30">
      <c r="A28" t="s">
        <v>306</v>
      </c>
      <c r="B28" s="28">
        <f>SUM(I24:J24)</f>
        <v>29.258542136132498</v>
      </c>
      <c r="C28" s="28">
        <f>SUM(K24:O24)</f>
        <v>81.94643916645748</v>
      </c>
      <c r="D28" s="28">
        <f>SUM(P24:T24)</f>
        <v>96.389936560310417</v>
      </c>
      <c r="E28" s="28">
        <f>SUM(U24:AD24)</f>
        <v>246.74204029265491</v>
      </c>
      <c r="F28" s="26">
        <f>SUM(B28:E28)</f>
        <v>454.33695815555529</v>
      </c>
    </row>
    <row r="29" spans="1:30">
      <c r="A29" t="s">
        <v>319</v>
      </c>
      <c r="B29" s="28">
        <f>1.565*2</f>
        <v>3.13</v>
      </c>
      <c r="C29" s="28">
        <f>1.565*5</f>
        <v>7.8249999999999993</v>
      </c>
      <c r="D29" s="28">
        <f>1.565*5</f>
        <v>7.8249999999999993</v>
      </c>
      <c r="E29" s="28">
        <f>1.565*10</f>
        <v>15.649999999999999</v>
      </c>
      <c r="F29" s="26">
        <f>SUM(B29:E29)</f>
        <v>34.429999999999993</v>
      </c>
    </row>
    <row r="30" spans="1:30">
      <c r="B30" s="28"/>
      <c r="C30" s="28"/>
      <c r="D30" s="28"/>
      <c r="E30" s="28"/>
      <c r="F30" s="26"/>
    </row>
    <row r="31" spans="1:30">
      <c r="A31" s="1" t="s">
        <v>133</v>
      </c>
      <c r="B31" s="24"/>
      <c r="C31" s="24"/>
      <c r="D31" s="24"/>
      <c r="E31" s="24"/>
      <c r="F31" s="24"/>
    </row>
    <row r="32" spans="1:30">
      <c r="A32" s="1" t="s">
        <v>100</v>
      </c>
      <c r="C32" s="9"/>
      <c r="D32" s="9"/>
      <c r="E32" s="9"/>
      <c r="F32" s="9"/>
    </row>
    <row r="33" spans="1:10">
      <c r="A33" t="s">
        <v>318</v>
      </c>
    </row>
    <row r="34" spans="1:10">
      <c r="A34" s="1" t="s">
        <v>84</v>
      </c>
      <c r="B34" s="24"/>
      <c r="C34" s="24"/>
      <c r="D34" s="24"/>
      <c r="E34" s="24"/>
      <c r="F34" s="24"/>
    </row>
    <row r="36" spans="1:10" s="2" customFormat="1">
      <c r="A36" s="2" t="s">
        <v>93</v>
      </c>
    </row>
    <row r="37" spans="1:10" s="5" customFormat="1">
      <c r="A37" s="6" t="s">
        <v>89</v>
      </c>
      <c r="B37" s="29"/>
      <c r="C37" s="29"/>
      <c r="D37" s="29"/>
      <c r="E37" s="29"/>
      <c r="F37" s="29"/>
    </row>
    <row r="38" spans="1:10" ht="30">
      <c r="A38" s="126" t="s">
        <v>90</v>
      </c>
      <c r="B38" s="28">
        <f>'BCT &amp; TriRail'!B17</f>
        <v>161.2642863574909</v>
      </c>
      <c r="C38" s="28">
        <f>'BCT &amp; TriRail'!C17</f>
        <v>451.66413180226635</v>
      </c>
      <c r="D38" s="28">
        <f>'BCT &amp; TriRail'!D17</f>
        <v>531.27234634996012</v>
      </c>
      <c r="E38" s="28">
        <f>'BCT &amp; TriRail'!E17</f>
        <v>1359.9679319991558</v>
      </c>
      <c r="F38" s="26">
        <f>'BCT &amp; TriRail'!F17</f>
        <v>2504.1686965088729</v>
      </c>
      <c r="G38" t="s">
        <v>30</v>
      </c>
      <c r="H38" s="140" t="s">
        <v>158</v>
      </c>
      <c r="J38" s="11"/>
    </row>
    <row r="39" spans="1:10">
      <c r="A39" s="126" t="s">
        <v>91</v>
      </c>
      <c r="B39" s="28">
        <f>'BCT &amp; TriRail'!B19</f>
        <v>44.495351100000001</v>
      </c>
      <c r="C39" s="28">
        <f>'BCT &amp; TriRail'!C19</f>
        <v>124.62123249823308</v>
      </c>
      <c r="D39" s="28">
        <f>'BCT &amp; TriRail'!D19</f>
        <v>146.58639004645437</v>
      </c>
      <c r="E39" s="28">
        <f>'BCT &amp; TriRail'!E19</f>
        <v>375.23652623805185</v>
      </c>
      <c r="F39" s="26">
        <f>'BCT &amp; TriRail'!F19</f>
        <v>690.93949988273926</v>
      </c>
      <c r="G39" t="s">
        <v>30</v>
      </c>
      <c r="H39" s="140" t="s">
        <v>159</v>
      </c>
      <c r="J39" s="11"/>
    </row>
    <row r="40" spans="1:10">
      <c r="A40" s="19"/>
      <c r="B40" s="28"/>
      <c r="C40" s="28"/>
      <c r="D40" s="28"/>
      <c r="E40" s="28"/>
      <c r="F40" s="26"/>
      <c r="H40" s="140"/>
      <c r="J40" s="105"/>
    </row>
    <row r="41" spans="1:10">
      <c r="A41" s="19" t="s">
        <v>303</v>
      </c>
      <c r="B41" s="28"/>
      <c r="C41" s="28"/>
      <c r="D41" s="28"/>
      <c r="E41" s="28"/>
      <c r="F41" s="26"/>
      <c r="H41" s="14"/>
      <c r="J41" s="105"/>
    </row>
    <row r="42" spans="1:10" ht="30">
      <c r="A42" s="126" t="s">
        <v>94</v>
      </c>
      <c r="B42" s="28">
        <f>1.565*2</f>
        <v>3.13</v>
      </c>
      <c r="C42" s="28">
        <f>1.565*5</f>
        <v>7.8249999999999993</v>
      </c>
      <c r="D42" s="28">
        <f>1.565*5</f>
        <v>7.8249999999999993</v>
      </c>
      <c r="E42" s="28">
        <f>1.565*10</f>
        <v>15.649999999999999</v>
      </c>
      <c r="F42" s="26">
        <f>SUM(B42:E42)</f>
        <v>34.429999999999993</v>
      </c>
      <c r="G42" t="s">
        <v>30</v>
      </c>
      <c r="H42" s="140" t="s">
        <v>160</v>
      </c>
      <c r="J42" s="11"/>
    </row>
    <row r="43" spans="1:10">
      <c r="A43" s="19"/>
      <c r="B43" s="28"/>
      <c r="C43" s="28"/>
      <c r="D43" s="28"/>
      <c r="E43" s="28"/>
      <c r="F43" s="26"/>
      <c r="H43" s="14"/>
      <c r="J43" s="11"/>
    </row>
    <row r="44" spans="1:10">
      <c r="A44" s="19"/>
      <c r="B44" s="28"/>
      <c r="C44" s="28"/>
      <c r="D44" s="28"/>
      <c r="E44" s="28"/>
      <c r="F44" s="26"/>
      <c r="H44" s="14"/>
      <c r="J44" s="11"/>
    </row>
    <row r="45" spans="1:10">
      <c r="A45" s="19"/>
      <c r="B45" s="28"/>
      <c r="C45" s="28"/>
      <c r="D45" s="28"/>
      <c r="E45" s="28"/>
      <c r="F45" s="26"/>
      <c r="H45" s="14"/>
      <c r="J45" s="11"/>
    </row>
    <row r="46" spans="1:10">
      <c r="A46" s="19"/>
      <c r="B46" s="28"/>
      <c r="C46" s="28"/>
      <c r="D46" s="28"/>
      <c r="E46" s="28"/>
      <c r="F46" s="36"/>
      <c r="H46" s="14"/>
      <c r="J46" s="11"/>
    </row>
  </sheetData>
  <mergeCells count="1">
    <mergeCell ref="D8:H8"/>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13" sqref="D13"/>
    </sheetView>
  </sheetViews>
  <sheetFormatPr defaultRowHeight="15"/>
  <cols>
    <col min="2" max="2" width="15.85546875" customWidth="1"/>
  </cols>
  <sheetData>
    <row r="1" spans="1:4">
      <c r="A1" t="s">
        <v>106</v>
      </c>
    </row>
    <row r="2" spans="1:4">
      <c r="A2" t="s">
        <v>107</v>
      </c>
    </row>
    <row r="4" spans="1:4">
      <c r="A4" t="s">
        <v>108</v>
      </c>
      <c r="B4" t="s">
        <v>109</v>
      </c>
      <c r="C4" t="s">
        <v>110</v>
      </c>
    </row>
    <row r="5" spans="1:4">
      <c r="A5">
        <v>2013</v>
      </c>
      <c r="B5">
        <v>2014</v>
      </c>
      <c r="C5" s="37">
        <v>3.1E-2</v>
      </c>
    </row>
    <row r="6" spans="1:4">
      <c r="A6">
        <v>2014</v>
      </c>
      <c r="B6">
        <v>2015</v>
      </c>
      <c r="C6" s="37">
        <v>2.9000000000000001E-2</v>
      </c>
    </row>
    <row r="7" spans="1:4">
      <c r="A7">
        <v>2015</v>
      </c>
      <c r="B7">
        <v>2016</v>
      </c>
      <c r="C7" s="37">
        <v>2.9000000000000001E-2</v>
      </c>
    </row>
    <row r="8" spans="1:4">
      <c r="A8">
        <v>2016</v>
      </c>
      <c r="B8">
        <v>2017</v>
      </c>
      <c r="C8" s="37">
        <v>2.9000000000000001E-2</v>
      </c>
    </row>
    <row r="9" spans="1:4">
      <c r="A9">
        <v>2017</v>
      </c>
      <c r="B9">
        <v>2018</v>
      </c>
      <c r="C9" s="37">
        <v>2.9000000000000001E-2</v>
      </c>
    </row>
    <row r="10" spans="1:4">
      <c r="A10">
        <v>2018</v>
      </c>
      <c r="B10">
        <v>2019</v>
      </c>
      <c r="C10" s="37">
        <v>0.03</v>
      </c>
    </row>
    <row r="11" spans="1:4">
      <c r="A11">
        <v>2019</v>
      </c>
      <c r="B11">
        <v>2020</v>
      </c>
      <c r="C11" s="37">
        <v>3.1E-2</v>
      </c>
    </row>
    <row r="12" spans="1:4">
      <c r="A12">
        <v>2020</v>
      </c>
      <c r="B12" t="s">
        <v>111</v>
      </c>
      <c r="C12" s="37">
        <v>3.3000000000000002E-2</v>
      </c>
      <c r="D12"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E35" sqref="E35"/>
    </sheetView>
  </sheetViews>
  <sheetFormatPr defaultRowHeight="15"/>
  <cols>
    <col min="8" max="8" width="16.28515625" customWidth="1"/>
  </cols>
  <sheetData>
    <row r="1" spans="1:8">
      <c r="A1" t="s">
        <v>134</v>
      </c>
    </row>
    <row r="3" spans="1:8" ht="30">
      <c r="A3" s="43"/>
      <c r="B3" s="46" t="s">
        <v>123</v>
      </c>
      <c r="C3" s="46" t="s">
        <v>124</v>
      </c>
      <c r="D3" s="46" t="s">
        <v>125</v>
      </c>
      <c r="E3" s="46" t="s">
        <v>126</v>
      </c>
      <c r="F3" s="46" t="s">
        <v>127</v>
      </c>
      <c r="G3" s="46" t="s">
        <v>128</v>
      </c>
      <c r="H3" s="46" t="s">
        <v>129</v>
      </c>
    </row>
    <row r="4" spans="1:8">
      <c r="A4" s="44" t="s">
        <v>130</v>
      </c>
      <c r="B4" s="45">
        <v>5113</v>
      </c>
      <c r="C4" s="45">
        <v>9542</v>
      </c>
      <c r="D4" s="45">
        <v>9687</v>
      </c>
      <c r="E4" s="45">
        <v>9719</v>
      </c>
      <c r="F4" s="45">
        <v>9664</v>
      </c>
      <c r="G4" s="45">
        <v>9664</v>
      </c>
      <c r="H4" s="47">
        <f>SUM(B4:G4)</f>
        <v>53389</v>
      </c>
    </row>
    <row r="5" spans="1:8">
      <c r="A5" s="44" t="s">
        <v>131</v>
      </c>
      <c r="B5" s="45">
        <v>9711</v>
      </c>
      <c r="C5" s="45">
        <v>22243</v>
      </c>
      <c r="D5" s="45">
        <v>25084</v>
      </c>
      <c r="E5" s="45">
        <v>27616</v>
      </c>
      <c r="F5" s="45">
        <v>29658</v>
      </c>
      <c r="G5" s="45">
        <v>31119</v>
      </c>
      <c r="H5" s="47">
        <f t="shared" ref="H5:H7" si="0">SUM(B5:G5)</f>
        <v>145431</v>
      </c>
    </row>
    <row r="6" spans="1:8">
      <c r="A6" s="44" t="s">
        <v>132</v>
      </c>
      <c r="B6" s="45">
        <v>1680</v>
      </c>
      <c r="C6" s="45">
        <v>3044</v>
      </c>
      <c r="D6" s="45">
        <v>2745</v>
      </c>
      <c r="E6" s="45">
        <v>2931</v>
      </c>
      <c r="F6" s="45">
        <v>3200</v>
      </c>
      <c r="G6" s="45">
        <v>3410</v>
      </c>
      <c r="H6" s="47">
        <f t="shared" si="0"/>
        <v>17010</v>
      </c>
    </row>
    <row r="7" spans="1:8" s="1" customFormat="1">
      <c r="A7" s="43" t="s">
        <v>133</v>
      </c>
      <c r="B7" s="47">
        <f>SUM(B4:B6)</f>
        <v>16504</v>
      </c>
      <c r="C7" s="47">
        <f t="shared" ref="C7:G7" si="1">SUM(C4:C6)</f>
        <v>34829</v>
      </c>
      <c r="D7" s="47">
        <f t="shared" si="1"/>
        <v>37516</v>
      </c>
      <c r="E7" s="47">
        <f t="shared" si="1"/>
        <v>40266</v>
      </c>
      <c r="F7" s="47">
        <f t="shared" si="1"/>
        <v>42522</v>
      </c>
      <c r="G7" s="47">
        <f t="shared" si="1"/>
        <v>44193</v>
      </c>
      <c r="H7" s="47">
        <f t="shared" si="0"/>
        <v>215830</v>
      </c>
    </row>
    <row r="9" spans="1:8" ht="30">
      <c r="A9" s="43"/>
      <c r="B9" s="46" t="s">
        <v>123</v>
      </c>
      <c r="C9" s="46" t="s">
        <v>124</v>
      </c>
      <c r="D9" s="46" t="s">
        <v>125</v>
      </c>
      <c r="E9" s="46" t="s">
        <v>126</v>
      </c>
      <c r="F9" s="46" t="s">
        <v>127</v>
      </c>
      <c r="G9" s="46" t="s">
        <v>128</v>
      </c>
      <c r="H9" s="46" t="s">
        <v>129</v>
      </c>
    </row>
    <row r="10" spans="1:8">
      <c r="A10" s="44" t="s">
        <v>130</v>
      </c>
      <c r="B10" s="48">
        <f>B4/B7</f>
        <v>0.30980368395540475</v>
      </c>
      <c r="C10" s="48">
        <f t="shared" ref="C10:H10" si="2">C4/C7</f>
        <v>0.27396709638519623</v>
      </c>
      <c r="D10" s="48">
        <f t="shared" si="2"/>
        <v>0.25820983047233181</v>
      </c>
      <c r="E10" s="48">
        <f t="shared" si="2"/>
        <v>0.24136989022997068</v>
      </c>
      <c r="F10" s="48">
        <f t="shared" si="2"/>
        <v>0.22727058934198768</v>
      </c>
      <c r="G10" s="48">
        <f t="shared" si="2"/>
        <v>0.2186771660670242</v>
      </c>
      <c r="H10" s="48">
        <f t="shared" si="2"/>
        <v>0.247365982486216</v>
      </c>
    </row>
    <row r="11" spans="1:8">
      <c r="A11" s="44" t="s">
        <v>131</v>
      </c>
      <c r="B11" s="48">
        <f>B5/B7</f>
        <v>0.58840281143965101</v>
      </c>
      <c r="C11" s="48">
        <f t="shared" ref="C11:H11" si="3">C5/C7</f>
        <v>0.63863447127393835</v>
      </c>
      <c r="D11" s="48">
        <f t="shared" si="3"/>
        <v>0.66862138820769801</v>
      </c>
      <c r="E11" s="48">
        <f t="shared" si="3"/>
        <v>0.68583916952267421</v>
      </c>
      <c r="F11" s="48">
        <f t="shared" si="3"/>
        <v>0.69747424862424157</v>
      </c>
      <c r="G11" s="48">
        <f t="shared" si="3"/>
        <v>0.70416129251238879</v>
      </c>
      <c r="H11" s="48">
        <f t="shared" si="3"/>
        <v>0.6738219895287958</v>
      </c>
    </row>
    <row r="12" spans="1:8">
      <c r="A12" s="44" t="s">
        <v>132</v>
      </c>
      <c r="B12" s="48">
        <f>B6/B7</f>
        <v>0.10179350460494425</v>
      </c>
      <c r="C12" s="48">
        <f t="shared" ref="C12:H12" si="4">C6/C7</f>
        <v>8.7398432340865376E-2</v>
      </c>
      <c r="D12" s="48">
        <f t="shared" si="4"/>
        <v>7.316878131997015E-2</v>
      </c>
      <c r="E12" s="48">
        <f t="shared" si="4"/>
        <v>7.2790940247355093E-2</v>
      </c>
      <c r="F12" s="48">
        <f t="shared" si="4"/>
        <v>7.5255162033770751E-2</v>
      </c>
      <c r="G12" s="48">
        <f t="shared" si="4"/>
        <v>7.7161541420586968E-2</v>
      </c>
      <c r="H12" s="48">
        <f t="shared" si="4"/>
        <v>7.8812027984988181E-2</v>
      </c>
    </row>
    <row r="13" spans="1:8">
      <c r="A13" s="43" t="s">
        <v>133</v>
      </c>
      <c r="B13" s="49">
        <f>SUM(B10:B12)</f>
        <v>1</v>
      </c>
      <c r="C13" s="49">
        <f t="shared" ref="C13" si="5">SUM(C10:C12)</f>
        <v>1</v>
      </c>
      <c r="D13" s="49">
        <f t="shared" ref="D13" si="6">SUM(D10:D12)</f>
        <v>1</v>
      </c>
      <c r="E13" s="49">
        <f t="shared" ref="E13" si="7">SUM(E10:E12)</f>
        <v>1</v>
      </c>
      <c r="F13" s="49">
        <f t="shared" ref="F13" si="8">SUM(F10:F12)</f>
        <v>1</v>
      </c>
      <c r="G13" s="49">
        <f t="shared" ref="G13" si="9">SUM(G10:G12)</f>
        <v>0.99999999999999989</v>
      </c>
      <c r="H13" s="49">
        <f>SUM(H10:H12)</f>
        <v>1</v>
      </c>
    </row>
  </sheetData>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selection activeCell="A32" sqref="A32"/>
    </sheetView>
  </sheetViews>
  <sheetFormatPr defaultRowHeight="15"/>
  <cols>
    <col min="2" max="2" width="21.5703125" customWidth="1"/>
    <col min="5" max="5" width="20.140625" customWidth="1"/>
    <col min="8" max="8" width="16.85546875" bestFit="1" customWidth="1"/>
  </cols>
  <sheetData>
    <row r="1" spans="1:8" ht="15.75">
      <c r="A1" s="77" t="s">
        <v>150</v>
      </c>
    </row>
    <row r="3" spans="1:8">
      <c r="A3" s="61"/>
      <c r="B3" s="62" t="s">
        <v>142</v>
      </c>
      <c r="C3" s="63"/>
      <c r="D3" s="63"/>
      <c r="E3" s="63" t="s">
        <v>169</v>
      </c>
      <c r="H3" t="s">
        <v>219</v>
      </c>
    </row>
    <row r="4" spans="1:8">
      <c r="A4" s="64">
        <v>1990</v>
      </c>
      <c r="B4" s="65">
        <v>24831980.061999999</v>
      </c>
      <c r="C4" s="66"/>
      <c r="D4" s="66"/>
      <c r="E4" s="66"/>
      <c r="H4" s="78">
        <f>B4*365</f>
        <v>9063672722.6299992</v>
      </c>
    </row>
    <row r="5" spans="1:8">
      <c r="A5" s="64">
        <v>1991</v>
      </c>
      <c r="B5" s="67">
        <v>26217091.098999999</v>
      </c>
      <c r="C5" s="68">
        <f>(B5-B4)/B4</f>
        <v>5.5779323015791832E-2</v>
      </c>
      <c r="D5" s="66"/>
      <c r="E5" s="66"/>
      <c r="H5" s="78">
        <f t="shared" ref="H5:H26" si="0">B5*365</f>
        <v>9569238251.1350002</v>
      </c>
    </row>
    <row r="6" spans="1:8">
      <c r="A6" s="64">
        <v>1992</v>
      </c>
      <c r="B6" s="65">
        <v>29502147.952</v>
      </c>
      <c r="C6" s="68">
        <f t="shared" ref="C6:C26" si="1">(B6-B5)/B5</f>
        <v>0.12530211077175157</v>
      </c>
      <c r="D6" s="66"/>
      <c r="E6" s="66"/>
      <c r="H6" s="78">
        <f t="shared" si="0"/>
        <v>10768284002.48</v>
      </c>
    </row>
    <row r="7" spans="1:8">
      <c r="A7" s="64">
        <v>1993</v>
      </c>
      <c r="B7" s="69">
        <v>28517861.752999999</v>
      </c>
      <c r="C7" s="68">
        <f t="shared" si="1"/>
        <v>-3.3363204625013569E-2</v>
      </c>
      <c r="D7" s="66"/>
      <c r="E7" s="66"/>
      <c r="H7" s="78">
        <f t="shared" si="0"/>
        <v>10409019539.844999</v>
      </c>
    </row>
    <row r="8" spans="1:8">
      <c r="A8" s="64">
        <v>1994</v>
      </c>
      <c r="B8" s="70">
        <v>30108846.559</v>
      </c>
      <c r="C8" s="68">
        <f t="shared" si="1"/>
        <v>5.5789063702598063E-2</v>
      </c>
      <c r="D8" s="66"/>
      <c r="E8" s="66"/>
      <c r="H8" s="78">
        <f t="shared" si="0"/>
        <v>10989728994.035</v>
      </c>
    </row>
    <row r="9" spans="1:8">
      <c r="A9" s="64">
        <v>1995</v>
      </c>
      <c r="B9" s="71">
        <v>31815455.510000002</v>
      </c>
      <c r="C9" s="68">
        <f t="shared" si="1"/>
        <v>5.6681312837932991E-2</v>
      </c>
      <c r="D9" s="66"/>
      <c r="E9" s="66"/>
      <c r="H9" s="78">
        <f t="shared" si="0"/>
        <v>11612641261.150002</v>
      </c>
    </row>
    <row r="10" spans="1:8">
      <c r="A10" s="64">
        <v>1996</v>
      </c>
      <c r="B10" s="72">
        <v>32076081.07</v>
      </c>
      <c r="C10" s="68">
        <f t="shared" si="1"/>
        <v>8.1917909337517018E-3</v>
      </c>
      <c r="D10" s="66"/>
      <c r="E10" s="66"/>
      <c r="H10" s="78">
        <f t="shared" si="0"/>
        <v>11707769590.549999</v>
      </c>
    </row>
    <row r="11" spans="1:8">
      <c r="A11" s="64">
        <v>1997</v>
      </c>
      <c r="B11" s="73">
        <v>33563485.060000002</v>
      </c>
      <c r="C11" s="68">
        <f t="shared" si="1"/>
        <v>4.6371125785410736E-2</v>
      </c>
      <c r="D11" s="66"/>
      <c r="E11" s="66"/>
      <c r="H11" s="78">
        <f t="shared" si="0"/>
        <v>12250672046.900002</v>
      </c>
    </row>
    <row r="12" spans="1:8">
      <c r="A12" s="64">
        <v>1998</v>
      </c>
      <c r="B12" s="73">
        <v>33424363.153000001</v>
      </c>
      <c r="C12" s="68">
        <f t="shared" si="1"/>
        <v>-4.1450375832932504E-3</v>
      </c>
      <c r="D12" s="66"/>
      <c r="E12" s="66"/>
      <c r="H12" s="78">
        <f t="shared" si="0"/>
        <v>12199892550.845001</v>
      </c>
    </row>
    <row r="13" spans="1:8">
      <c r="A13" s="64">
        <v>1999</v>
      </c>
      <c r="B13" s="73">
        <v>34196374.390000001</v>
      </c>
      <c r="C13" s="68">
        <f t="shared" si="1"/>
        <v>2.3097260925095828E-2</v>
      </c>
      <c r="D13" s="66"/>
      <c r="E13" s="66"/>
      <c r="H13" s="78">
        <f t="shared" si="0"/>
        <v>12481676652.35</v>
      </c>
    </row>
    <row r="14" spans="1:8">
      <c r="A14" s="64">
        <v>2000</v>
      </c>
      <c r="B14" s="74">
        <v>38597617.823999994</v>
      </c>
      <c r="C14" s="68">
        <f t="shared" si="1"/>
        <v>0.12870497274959777</v>
      </c>
      <c r="D14" s="66"/>
      <c r="E14" s="80">
        <v>410567985.28707761</v>
      </c>
      <c r="H14" s="78">
        <f t="shared" si="0"/>
        <v>14088130505.759998</v>
      </c>
    </row>
    <row r="15" spans="1:8">
      <c r="A15" s="64">
        <v>2001</v>
      </c>
      <c r="B15" s="74">
        <v>42122337.026000001</v>
      </c>
      <c r="C15" s="68">
        <f t="shared" si="1"/>
        <v>9.131960469872151E-2</v>
      </c>
      <c r="D15" s="66"/>
      <c r="E15" s="80">
        <v>468573594.41000003</v>
      </c>
      <c r="H15" s="78">
        <f t="shared" si="0"/>
        <v>15374653014.49</v>
      </c>
    </row>
    <row r="16" spans="1:8">
      <c r="A16" s="64">
        <v>2002</v>
      </c>
      <c r="B16" s="74">
        <v>43059748.853</v>
      </c>
      <c r="C16" s="68">
        <f t="shared" si="1"/>
        <v>2.2254506591630526E-2</v>
      </c>
      <c r="D16" s="66"/>
      <c r="E16" s="80">
        <v>489536177.33700001</v>
      </c>
      <c r="H16" s="78">
        <f t="shared" si="0"/>
        <v>15716808331.344999</v>
      </c>
    </row>
    <row r="17" spans="1:8">
      <c r="A17" s="64">
        <v>2003</v>
      </c>
      <c r="B17" s="74">
        <v>43702730.195</v>
      </c>
      <c r="C17" s="68">
        <f t="shared" si="1"/>
        <v>1.4932305903479584E-2</v>
      </c>
      <c r="D17" s="66"/>
      <c r="E17" s="80">
        <v>508607851.26800001</v>
      </c>
      <c r="H17" s="78">
        <f t="shared" si="0"/>
        <v>15951496521.174999</v>
      </c>
    </row>
    <row r="18" spans="1:8">
      <c r="A18" s="64">
        <v>2004</v>
      </c>
      <c r="B18" s="74">
        <v>44290414.592</v>
      </c>
      <c r="C18" s="68">
        <f t="shared" si="1"/>
        <v>1.3447315405188037E-2</v>
      </c>
      <c r="D18" s="66"/>
      <c r="E18" s="80">
        <v>537494319.11000001</v>
      </c>
      <c r="H18" s="78">
        <f t="shared" si="0"/>
        <v>16166001326.08</v>
      </c>
    </row>
    <row r="19" spans="1:8">
      <c r="A19" s="64">
        <v>2005</v>
      </c>
      <c r="B19" s="74">
        <v>45768987.752999999</v>
      </c>
      <c r="C19" s="68">
        <f t="shared" si="1"/>
        <v>3.3383592694277174E-2</v>
      </c>
      <c r="D19" s="66"/>
      <c r="E19" s="80">
        <v>550614540.13199997</v>
      </c>
      <c r="H19" s="78">
        <f t="shared" si="0"/>
        <v>16705680529.844999</v>
      </c>
    </row>
    <row r="20" spans="1:8">
      <c r="A20" s="64">
        <v>2006</v>
      </c>
      <c r="B20" s="74">
        <v>45806568.044</v>
      </c>
      <c r="C20" s="68">
        <f t="shared" si="1"/>
        <v>8.2108634787401156E-4</v>
      </c>
      <c r="D20" s="66"/>
      <c r="E20" s="80">
        <v>558308385.54100001</v>
      </c>
      <c r="H20" s="78">
        <f t="shared" si="0"/>
        <v>16719397336.059999</v>
      </c>
    </row>
    <row r="21" spans="1:8">
      <c r="A21" s="64">
        <v>2007</v>
      </c>
      <c r="B21" s="74">
        <v>46572803.254000001</v>
      </c>
      <c r="C21" s="68">
        <f t="shared" si="1"/>
        <v>1.6727627559086838E-2</v>
      </c>
      <c r="D21" s="66"/>
      <c r="E21" s="80">
        <v>562798031.75699997</v>
      </c>
      <c r="H21" s="78">
        <f t="shared" si="0"/>
        <v>16999073187.710001</v>
      </c>
    </row>
    <row r="22" spans="1:8">
      <c r="A22" s="64">
        <v>2008</v>
      </c>
      <c r="B22" s="74">
        <v>45005743.851000004</v>
      </c>
      <c r="C22" s="68">
        <f t="shared" si="1"/>
        <v>-3.3647521590090393E-2</v>
      </c>
      <c r="D22" s="66"/>
      <c r="E22" s="80">
        <v>542334375.51999998</v>
      </c>
      <c r="H22" s="78">
        <f t="shared" si="0"/>
        <v>16427096505.615002</v>
      </c>
    </row>
    <row r="23" spans="1:8">
      <c r="A23" s="64">
        <v>2009</v>
      </c>
      <c r="B23" s="74">
        <v>44004874.597000003</v>
      </c>
      <c r="C23" s="68">
        <f t="shared" si="1"/>
        <v>-2.2238700404854254E-2</v>
      </c>
      <c r="D23" s="66"/>
      <c r="E23" s="80">
        <v>538088985.65600002</v>
      </c>
      <c r="H23" s="78">
        <f t="shared" si="0"/>
        <v>16061779227.905001</v>
      </c>
    </row>
    <row r="24" spans="1:8">
      <c r="A24" s="64">
        <v>2010</v>
      </c>
      <c r="B24" s="74">
        <v>43259153.289999999</v>
      </c>
      <c r="C24" s="68">
        <f t="shared" si="1"/>
        <v>-1.6946334101150755E-2</v>
      </c>
      <c r="D24" s="66"/>
      <c r="E24" s="80">
        <v>536315478.921</v>
      </c>
      <c r="H24" s="78">
        <f t="shared" si="0"/>
        <v>15789590950.85</v>
      </c>
    </row>
    <row r="25" spans="1:8">
      <c r="A25" s="64">
        <v>2011</v>
      </c>
      <c r="B25" s="74">
        <v>43295869.818999998</v>
      </c>
      <c r="C25" s="68">
        <f t="shared" si="1"/>
        <v>8.4875745842410511E-4</v>
      </c>
      <c r="D25" s="66"/>
      <c r="E25" s="80">
        <v>525630012.70700002</v>
      </c>
      <c r="H25" s="78">
        <f t="shared" si="0"/>
        <v>15802992483.934999</v>
      </c>
    </row>
    <row r="26" spans="1:8">
      <c r="A26" s="64">
        <v>2012</v>
      </c>
      <c r="B26" s="74">
        <v>43979108.854000002</v>
      </c>
      <c r="C26" s="68">
        <f t="shared" si="1"/>
        <v>1.5780697739907066E-2</v>
      </c>
      <c r="D26" s="66"/>
      <c r="E26" s="80">
        <v>522879155.17699999</v>
      </c>
      <c r="H26" s="78">
        <f t="shared" si="0"/>
        <v>16052374731.710001</v>
      </c>
    </row>
    <row r="27" spans="1:8">
      <c r="A27" s="74"/>
      <c r="B27" s="66" t="s">
        <v>143</v>
      </c>
      <c r="C27" s="75">
        <f>AVERAGE(C5:C26)</f>
        <v>2.7231438946187146E-2</v>
      </c>
      <c r="D27" s="66" t="s">
        <v>144</v>
      </c>
      <c r="E27" s="68">
        <f>((B26/B4)^(1/(A26-A4)))-1</f>
        <v>2.632146596906515E-2</v>
      </c>
    </row>
    <row r="28" spans="1:8">
      <c r="A28" s="74"/>
      <c r="B28" s="66" t="s">
        <v>145</v>
      </c>
      <c r="C28" s="75">
        <f>AVERAGE(C17:C26)</f>
        <v>2.3108827012141412E-3</v>
      </c>
      <c r="D28" s="66" t="s">
        <v>146</v>
      </c>
      <c r="E28" s="68">
        <f>((B26/B16)^(1/(A26-A16)))-1</f>
        <v>2.1148394213006405E-3</v>
      </c>
    </row>
    <row r="29" spans="1:8">
      <c r="A29" s="74"/>
      <c r="B29" s="66" t="s">
        <v>147</v>
      </c>
      <c r="C29" s="75">
        <f>AVERAGE(C23:C26)</f>
        <v>-5.6388948269184601E-3</v>
      </c>
      <c r="D29" s="66" t="s">
        <v>148</v>
      </c>
      <c r="E29" s="68">
        <f>((B26/B22)^(1/(A26-A22)))-1</f>
        <v>-5.7522422270798179E-3</v>
      </c>
    </row>
    <row r="30" spans="1:8">
      <c r="A30" s="74"/>
      <c r="B30" s="66"/>
      <c r="C30" s="66"/>
      <c r="D30" s="66"/>
      <c r="E30" s="66"/>
    </row>
    <row r="31" spans="1:8">
      <c r="A31" s="76" t="s">
        <v>149</v>
      </c>
      <c r="B31" s="66"/>
      <c r="C31" s="66"/>
      <c r="D31" s="66"/>
      <c r="E31" s="66"/>
    </row>
    <row r="32" spans="1:8">
      <c r="A32" t="s">
        <v>151</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4" sqref="A4"/>
    </sheetView>
  </sheetViews>
  <sheetFormatPr defaultRowHeight="15"/>
  <cols>
    <col min="2" max="2" width="15.28515625" customWidth="1"/>
  </cols>
  <sheetData>
    <row r="1" spans="1:3">
      <c r="A1" t="s">
        <v>152</v>
      </c>
    </row>
    <row r="2" spans="1:3">
      <c r="A2" t="s">
        <v>153</v>
      </c>
    </row>
    <row r="3" spans="1:3">
      <c r="A3" t="s">
        <v>171</v>
      </c>
    </row>
    <row r="4" spans="1:3">
      <c r="B4" t="s">
        <v>154</v>
      </c>
    </row>
    <row r="5" spans="1:3">
      <c r="A5">
        <v>2000</v>
      </c>
      <c r="B5" s="78">
        <v>8864424.6530000009</v>
      </c>
    </row>
    <row r="6" spans="1:3">
      <c r="A6">
        <v>2001</v>
      </c>
      <c r="B6" s="78">
        <v>8990517.4419999998</v>
      </c>
      <c r="C6" s="79">
        <f>(B6-B5)/B5</f>
        <v>1.422458805121945E-2</v>
      </c>
    </row>
    <row r="7" spans="1:3">
      <c r="A7">
        <v>2002</v>
      </c>
      <c r="B7" s="78">
        <v>9345614</v>
      </c>
      <c r="C7" s="79">
        <f t="shared" ref="C7:C16" si="0">(B7-B6)/B6</f>
        <v>3.9496787619935546E-2</v>
      </c>
    </row>
    <row r="8" spans="1:3">
      <c r="A8">
        <v>2003</v>
      </c>
      <c r="B8" s="78">
        <v>9601509</v>
      </c>
      <c r="C8" s="79">
        <f t="shared" si="0"/>
        <v>2.7381293513727402E-2</v>
      </c>
    </row>
    <row r="9" spans="1:3">
      <c r="A9">
        <v>2004</v>
      </c>
      <c r="B9" s="78">
        <v>10113293</v>
      </c>
      <c r="C9" s="79">
        <f t="shared" si="0"/>
        <v>5.3302454853711018E-2</v>
      </c>
    </row>
    <row r="10" spans="1:3">
      <c r="A10">
        <v>2005</v>
      </c>
      <c r="B10" s="78">
        <v>10409107</v>
      </c>
      <c r="C10" s="79">
        <f t="shared" si="0"/>
        <v>2.9250017773637133E-2</v>
      </c>
    </row>
    <row r="11" spans="1:3">
      <c r="A11">
        <v>2006</v>
      </c>
      <c r="B11" s="78">
        <v>10478833</v>
      </c>
      <c r="C11" s="79">
        <f t="shared" si="0"/>
        <v>6.6985573306144325E-3</v>
      </c>
    </row>
    <row r="12" spans="1:3">
      <c r="A12">
        <v>2007</v>
      </c>
      <c r="B12" s="78">
        <v>10284632</v>
      </c>
      <c r="C12" s="79">
        <f t="shared" si="0"/>
        <v>-1.8532693478367297E-2</v>
      </c>
    </row>
    <row r="13" spans="1:3">
      <c r="A13">
        <v>2008</v>
      </c>
      <c r="B13" s="78">
        <v>9744386</v>
      </c>
      <c r="C13" s="79">
        <f t="shared" si="0"/>
        <v>-5.2529443931489235E-2</v>
      </c>
    </row>
    <row r="14" spans="1:3">
      <c r="A14">
        <v>2009</v>
      </c>
      <c r="B14" s="78">
        <v>9650710</v>
      </c>
      <c r="C14" s="79">
        <f t="shared" si="0"/>
        <v>-9.6133301780122419E-3</v>
      </c>
    </row>
    <row r="15" spans="1:3">
      <c r="A15">
        <v>2010</v>
      </c>
      <c r="B15" s="78">
        <v>9586458</v>
      </c>
      <c r="C15" s="79">
        <f t="shared" si="0"/>
        <v>-6.6577484972608235E-3</v>
      </c>
    </row>
    <row r="16" spans="1:3">
      <c r="A16">
        <v>2011</v>
      </c>
      <c r="B16" s="78">
        <v>9486298</v>
      </c>
      <c r="C16" s="79">
        <f t="shared" si="0"/>
        <v>-1.0448071644396711E-2</v>
      </c>
    </row>
    <row r="17" spans="2:5">
      <c r="B17" s="66" t="s">
        <v>155</v>
      </c>
      <c r="C17" s="75">
        <f>AVERAGE(C6:C16)</f>
        <v>6.5974919466653343E-3</v>
      </c>
      <c r="D17" s="66" t="s">
        <v>156</v>
      </c>
      <c r="E17" s="68">
        <f>((B16/B5)^(1/(A16-A5)))-1</f>
        <v>6.182890664985452E-3</v>
      </c>
    </row>
    <row r="18" spans="2:5">
      <c r="B18" s="66" t="s">
        <v>157</v>
      </c>
      <c r="C18" s="75">
        <f>AVERAGE(C12:C16)</f>
        <v>-1.9556257545905262E-2</v>
      </c>
      <c r="D18" s="66" t="s">
        <v>146</v>
      </c>
      <c r="E18" s="68">
        <f>((B16/B12)^(1/(A16-A12)))-1</f>
        <v>-1.999791045495658E-2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I25" sqref="I25"/>
    </sheetView>
  </sheetViews>
  <sheetFormatPr defaultRowHeight="15"/>
  <cols>
    <col min="2" max="2" width="15.42578125" customWidth="1"/>
    <col min="3" max="4" width="13.5703125" customWidth="1"/>
    <col min="5" max="6" width="14" customWidth="1"/>
    <col min="7" max="7" width="18.28515625" customWidth="1"/>
    <col min="8" max="8" width="17.85546875" customWidth="1"/>
    <col min="9" max="9" width="21.42578125" customWidth="1"/>
    <col min="10" max="10" width="12.85546875" customWidth="1"/>
  </cols>
  <sheetData>
    <row r="1" spans="1:10">
      <c r="A1" t="s">
        <v>164</v>
      </c>
    </row>
    <row r="2" spans="1:10">
      <c r="G2" t="s">
        <v>174</v>
      </c>
    </row>
    <row r="3" spans="1:10" ht="45">
      <c r="B3" s="10" t="s">
        <v>165</v>
      </c>
      <c r="C3" s="81" t="s">
        <v>167</v>
      </c>
      <c r="D3" s="81"/>
      <c r="E3" s="81" t="s">
        <v>170</v>
      </c>
      <c r="F3" s="81"/>
      <c r="G3" s="10" t="s">
        <v>172</v>
      </c>
      <c r="H3" s="10" t="s">
        <v>173</v>
      </c>
      <c r="I3" s="10" t="s">
        <v>175</v>
      </c>
    </row>
    <row r="4" spans="1:10">
      <c r="A4">
        <v>2000</v>
      </c>
      <c r="B4" s="78">
        <v>8864424653</v>
      </c>
      <c r="C4" s="74">
        <v>38597617.823999994</v>
      </c>
      <c r="D4" s="74"/>
      <c r="E4" s="80">
        <v>410567985.28707761</v>
      </c>
      <c r="F4" s="80"/>
      <c r="G4">
        <f t="shared" ref="G4:G15" si="0">B4/E4</f>
        <v>21.590637776595784</v>
      </c>
      <c r="I4" s="82">
        <f>B4/C4</f>
        <v>229.66248055568087</v>
      </c>
    </row>
    <row r="5" spans="1:10">
      <c r="A5">
        <v>2001</v>
      </c>
      <c r="B5" s="78">
        <v>8990517442</v>
      </c>
      <c r="C5" s="74">
        <v>42122337.026000001</v>
      </c>
      <c r="D5" s="83">
        <f>(C5-C4)/C4</f>
        <v>9.131960469872151E-2</v>
      </c>
      <c r="E5" s="80">
        <v>468573594.41000003</v>
      </c>
      <c r="F5" s="83">
        <f>(E5-E4)/E4</f>
        <v>0.14128137410023264</v>
      </c>
      <c r="G5">
        <f t="shared" si="0"/>
        <v>19.186991220280614</v>
      </c>
      <c r="H5" s="79">
        <f>(G5-G4)/G4</f>
        <v>-0.1113281868366445</v>
      </c>
      <c r="I5" s="82">
        <f t="shared" ref="I5:I15" si="1">B5/C5</f>
        <v>213.43823910934964</v>
      </c>
      <c r="J5" s="79">
        <f>(I5-I4)/I4</f>
        <v>-7.0643848342471088E-2</v>
      </c>
    </row>
    <row r="6" spans="1:10">
      <c r="A6">
        <v>2002</v>
      </c>
      <c r="B6" s="78">
        <v>9345614000</v>
      </c>
      <c r="C6" s="74">
        <v>43059748.853</v>
      </c>
      <c r="D6" s="83">
        <f t="shared" ref="D6:F16" si="2">(C6-C5)/C5</f>
        <v>2.2254506591630526E-2</v>
      </c>
      <c r="E6" s="80">
        <v>489536177.33700001</v>
      </c>
      <c r="F6" s="83">
        <f t="shared" si="2"/>
        <v>4.4737012877123013E-2</v>
      </c>
      <c r="G6">
        <f t="shared" si="0"/>
        <v>19.0907524972693</v>
      </c>
      <c r="H6" s="79">
        <f t="shared" ref="H6:J15" si="3">(G6-G5)/G5</f>
        <v>-5.0158319199932857E-3</v>
      </c>
      <c r="I6" s="82">
        <f t="shared" si="1"/>
        <v>217.03828398778236</v>
      </c>
      <c r="J6" s="79">
        <f t="shared" si="3"/>
        <v>1.6866916132063547E-2</v>
      </c>
    </row>
    <row r="7" spans="1:10">
      <c r="A7">
        <v>2003</v>
      </c>
      <c r="B7" s="78">
        <v>9601509000</v>
      </c>
      <c r="C7" s="74">
        <v>43702730.195</v>
      </c>
      <c r="D7" s="83">
        <f t="shared" si="2"/>
        <v>1.4932305903479584E-2</v>
      </c>
      <c r="E7" s="80">
        <v>508607851.26800001</v>
      </c>
      <c r="F7" s="83">
        <f t="shared" si="2"/>
        <v>3.8958660899684486E-2</v>
      </c>
      <c r="G7">
        <f t="shared" si="0"/>
        <v>18.878019629588241</v>
      </c>
      <c r="H7" s="79">
        <f t="shared" si="3"/>
        <v>-1.1143241614571628E-2</v>
      </c>
      <c r="I7" s="82">
        <f t="shared" si="1"/>
        <v>219.70043878628209</v>
      </c>
      <c r="J7" s="79">
        <f t="shared" si="3"/>
        <v>1.2265830477399035E-2</v>
      </c>
    </row>
    <row r="8" spans="1:10">
      <c r="A8">
        <v>2004</v>
      </c>
      <c r="B8" s="78">
        <v>10113293000</v>
      </c>
      <c r="C8" s="74">
        <v>44290414.592</v>
      </c>
      <c r="D8" s="83">
        <f t="shared" si="2"/>
        <v>1.3447315405188037E-2</v>
      </c>
      <c r="E8" s="80">
        <v>537494319.11000001</v>
      </c>
      <c r="F8" s="83">
        <f t="shared" si="2"/>
        <v>5.6795166983725741E-2</v>
      </c>
      <c r="G8">
        <f t="shared" si="0"/>
        <v>18.815627701416282</v>
      </c>
      <c r="H8" s="79">
        <f t="shared" si="3"/>
        <v>-3.3050038826196292E-3</v>
      </c>
      <c r="I8" s="82">
        <f t="shared" si="1"/>
        <v>228.34044551542138</v>
      </c>
      <c r="J8" s="79">
        <f t="shared" si="3"/>
        <v>3.9326306205259898E-2</v>
      </c>
    </row>
    <row r="9" spans="1:10">
      <c r="A9">
        <v>2005</v>
      </c>
      <c r="B9" s="78">
        <v>10409107000</v>
      </c>
      <c r="C9" s="74">
        <v>45768987.752999999</v>
      </c>
      <c r="D9" s="83">
        <f t="shared" si="2"/>
        <v>3.3383592694277174E-2</v>
      </c>
      <c r="E9" s="80">
        <v>550614540.13199997</v>
      </c>
      <c r="F9" s="83">
        <f t="shared" si="2"/>
        <v>2.4409971520675474E-2</v>
      </c>
      <c r="G9">
        <f t="shared" si="0"/>
        <v>18.904526199952155</v>
      </c>
      <c r="H9" s="79">
        <f t="shared" si="3"/>
        <v>4.7247160682915177E-3</v>
      </c>
      <c r="I9" s="82">
        <f t="shared" si="1"/>
        <v>227.42707477330475</v>
      </c>
      <c r="J9" s="79">
        <f t="shared" si="3"/>
        <v>-4.0000392398942758E-3</v>
      </c>
    </row>
    <row r="10" spans="1:10">
      <c r="A10">
        <v>2006</v>
      </c>
      <c r="B10" s="78">
        <v>10478833000</v>
      </c>
      <c r="C10" s="74">
        <v>45806568.044</v>
      </c>
      <c r="D10" s="83">
        <f t="shared" si="2"/>
        <v>8.2108634787401156E-4</v>
      </c>
      <c r="E10" s="80">
        <v>558308385.54100001</v>
      </c>
      <c r="F10" s="83">
        <f t="shared" si="2"/>
        <v>1.3973196943102116E-2</v>
      </c>
      <c r="G10">
        <f t="shared" si="0"/>
        <v>18.768897747874636</v>
      </c>
      <c r="H10" s="79">
        <f t="shared" si="3"/>
        <v>-7.1743904418965186E-3</v>
      </c>
      <c r="I10" s="82">
        <f t="shared" si="1"/>
        <v>228.76267416354884</v>
      </c>
      <c r="J10" s="79">
        <f t="shared" si="3"/>
        <v>5.8726490307954146E-3</v>
      </c>
    </row>
    <row r="11" spans="1:10">
      <c r="A11">
        <v>2007</v>
      </c>
      <c r="B11" s="78">
        <v>10284632000</v>
      </c>
      <c r="C11" s="74">
        <v>46572803.254000001</v>
      </c>
      <c r="D11" s="83">
        <f t="shared" si="2"/>
        <v>1.6727627559086838E-2</v>
      </c>
      <c r="E11" s="80">
        <v>562798031.75699997</v>
      </c>
      <c r="F11" s="83">
        <f t="shared" si="2"/>
        <v>8.0415167177714884E-3</v>
      </c>
      <c r="G11">
        <f t="shared" si="0"/>
        <v>18.274107974209493</v>
      </c>
      <c r="H11" s="79">
        <f t="shared" si="3"/>
        <v>-2.6362217979538662E-2</v>
      </c>
      <c r="I11" s="82">
        <f t="shared" si="1"/>
        <v>220.82913806818539</v>
      </c>
      <c r="J11" s="79">
        <f t="shared" si="3"/>
        <v>-3.4680203509474379E-2</v>
      </c>
    </row>
    <row r="12" spans="1:10">
      <c r="A12">
        <v>2008</v>
      </c>
      <c r="B12" s="78">
        <v>9744386000</v>
      </c>
      <c r="C12" s="74">
        <v>45005743.851000004</v>
      </c>
      <c r="D12" s="83">
        <f t="shared" si="2"/>
        <v>-3.3647521590090393E-2</v>
      </c>
      <c r="E12" s="80">
        <v>542334375.51999998</v>
      </c>
      <c r="F12" s="83">
        <f t="shared" si="2"/>
        <v>-3.6360568236378635E-2</v>
      </c>
      <c r="G12">
        <f t="shared" si="0"/>
        <v>17.967487291685885</v>
      </c>
      <c r="H12" s="79">
        <f t="shared" si="3"/>
        <v>-1.6778968525103719E-2</v>
      </c>
      <c r="I12" s="82">
        <f t="shared" si="1"/>
        <v>216.51427498366934</v>
      </c>
      <c r="J12" s="79">
        <f t="shared" si="3"/>
        <v>-1.9539373844695025E-2</v>
      </c>
    </row>
    <row r="13" spans="1:10">
      <c r="A13">
        <v>2009</v>
      </c>
      <c r="B13" s="78">
        <v>9650710000</v>
      </c>
      <c r="C13" s="74">
        <v>44004874.597000003</v>
      </c>
      <c r="D13" s="83">
        <f t="shared" si="2"/>
        <v>-2.2238700404854254E-2</v>
      </c>
      <c r="E13" s="80">
        <v>538088985.65600002</v>
      </c>
      <c r="F13" s="83">
        <f t="shared" si="2"/>
        <v>-7.827993311191838E-3</v>
      </c>
      <c r="G13">
        <f t="shared" si="0"/>
        <v>17.935156186545125</v>
      </c>
      <c r="H13" s="79">
        <f t="shared" si="3"/>
        <v>-1.7994227359615237E-3</v>
      </c>
      <c r="I13" s="82">
        <f t="shared" si="1"/>
        <v>219.31002163696496</v>
      </c>
      <c r="J13" s="79">
        <f t="shared" si="3"/>
        <v>1.2912528070061401E-2</v>
      </c>
    </row>
    <row r="14" spans="1:10">
      <c r="A14">
        <v>2010</v>
      </c>
      <c r="B14" s="78">
        <v>9586458000</v>
      </c>
      <c r="C14" s="74">
        <v>43259153.289999999</v>
      </c>
      <c r="D14" s="83">
        <f t="shared" si="2"/>
        <v>-1.6946334101150755E-2</v>
      </c>
      <c r="E14" s="80">
        <v>536315478.921</v>
      </c>
      <c r="F14" s="83">
        <f t="shared" si="2"/>
        <v>-3.2959357695045185E-3</v>
      </c>
      <c r="G14">
        <f t="shared" si="0"/>
        <v>17.874662165796074</v>
      </c>
      <c r="H14" s="79">
        <f t="shared" si="3"/>
        <v>-3.3729296873607987E-3</v>
      </c>
      <c r="I14" s="82">
        <f t="shared" si="1"/>
        <v>221.60530826237999</v>
      </c>
      <c r="J14" s="79">
        <f t="shared" si="3"/>
        <v>1.0465945004622432E-2</v>
      </c>
    </row>
    <row r="15" spans="1:10">
      <c r="A15">
        <v>2011</v>
      </c>
      <c r="B15" s="78">
        <v>9486298000</v>
      </c>
      <c r="C15" s="74">
        <v>43295869.818999998</v>
      </c>
      <c r="D15" s="83">
        <f t="shared" si="2"/>
        <v>8.4875745842410511E-4</v>
      </c>
      <c r="E15" s="80">
        <v>525630012.70700002</v>
      </c>
      <c r="F15" s="83">
        <f t="shared" si="2"/>
        <v>-1.9923844516846343E-2</v>
      </c>
      <c r="G15">
        <f t="shared" si="0"/>
        <v>18.04748163284183</v>
      </c>
      <c r="H15" s="79">
        <f t="shared" si="3"/>
        <v>9.6684046636950072E-3</v>
      </c>
      <c r="I15" s="82">
        <f t="shared" si="1"/>
        <v>219.10399397581855</v>
      </c>
      <c r="J15" s="79">
        <f t="shared" si="3"/>
        <v>-1.1287248966075714E-2</v>
      </c>
    </row>
    <row r="16" spans="1:10">
      <c r="A16">
        <v>2012</v>
      </c>
      <c r="B16" t="s">
        <v>30</v>
      </c>
      <c r="C16" s="74">
        <v>43979108.854000002</v>
      </c>
      <c r="D16" s="83">
        <f t="shared" si="2"/>
        <v>1.5780697739907066E-2</v>
      </c>
      <c r="E16" s="80">
        <v>522879155.17699999</v>
      </c>
      <c r="F16" s="83">
        <f t="shared" si="2"/>
        <v>-5.2334483638654611E-3</v>
      </c>
      <c r="G16" t="s">
        <v>30</v>
      </c>
      <c r="H16" t="s">
        <v>30</v>
      </c>
    </row>
    <row r="17" spans="1:4">
      <c r="C17" s="74"/>
      <c r="D17" s="74"/>
    </row>
    <row r="18" spans="1:4">
      <c r="A18" t="s">
        <v>166</v>
      </c>
    </row>
    <row r="19" spans="1:4">
      <c r="A19" t="s">
        <v>168</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Summary of Revenues</vt:lpstr>
      <vt:lpstr>Fuel Taxes</vt:lpstr>
      <vt:lpstr>Muni Rev Sharing</vt:lpstr>
      <vt:lpstr>BCT &amp; TriRail</vt:lpstr>
      <vt:lpstr>Inflation Factors per Handbook</vt:lpstr>
      <vt:lpstr>Statewide</vt:lpstr>
      <vt:lpstr>DVMT</vt:lpstr>
      <vt:lpstr>Fuel Vol Taxed</vt:lpstr>
      <vt:lpstr>Vol per VMT</vt:lpstr>
      <vt:lpstr>AEO2013-Transportation_Sector_K</vt:lpstr>
      <vt:lpstr>AEO2013-Light-Duty_Vehicle_Mile</vt:lpstr>
    </vt:vector>
  </TitlesOfParts>
  <Company>Registered Organization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Angie Caple</cp:lastModifiedBy>
  <dcterms:created xsi:type="dcterms:W3CDTF">2013-09-25T16:01:23Z</dcterms:created>
  <dcterms:modified xsi:type="dcterms:W3CDTF">2016-01-26T18:55:52Z</dcterms:modified>
</cp:coreProperties>
</file>